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643" firstSheet="3" activeTab="2"/>
  </bookViews>
  <sheets>
    <sheet name="总" sheetId="14" state="hidden" r:id="rId1"/>
    <sheet name="修改" sheetId="30" state="hidden" r:id="rId2"/>
    <sheet name="清单" sheetId="47" r:id="rId3"/>
    <sheet name="商混" sheetId="31" state="hidden" r:id="rId4"/>
    <sheet name="护栏 (单价分析表) (全费用)" sheetId="39" state="hidden" r:id="rId5"/>
    <sheet name="Sheet1" sheetId="27" state="hidden" r:id="rId6"/>
    <sheet name="劳务一工区" sheetId="16" state="hidden" r:id="rId7"/>
    <sheet name="劳务二工区" sheetId="15" state="hidden" r:id="rId8"/>
  </sheets>
  <definedNames>
    <definedName name="_xlnm._FilterDatabase" localSheetId="0" hidden="1">总!$K$1:$K$50</definedName>
    <definedName name="_xlnm._FilterDatabase" localSheetId="4" hidden="1">'护栏 (单价分析表) (全费用)'!$T$2:$T$17</definedName>
    <definedName name="_xlnm._FilterDatabase" localSheetId="6" hidden="1">劳务一工区!$L$1:$L$356</definedName>
    <definedName name="_xlnm._FilterDatabase" localSheetId="7" hidden="1">劳务二工区!$L$1:$L$257</definedName>
    <definedName name="_xlnm._FilterDatabase" localSheetId="3" hidden="1">商混!#REF!</definedName>
    <definedName name="_xlnm.Print_Area" localSheetId="3">商混!$A$2:$Q$18</definedName>
    <definedName name="_xlnm.Print_Area" localSheetId="4">'护栏 (单价分析表) (全费用)'!$A$1:$W$65</definedName>
    <definedName name="_xlnm.Print_Area" localSheetId="7">劳务二工区!$A$1:$N$257</definedName>
    <definedName name="_xlnm.Print_Area" localSheetId="6">劳务一工区!$A$1:$M$356</definedName>
    <definedName name="_xlnm.Print_Area" localSheetId="0">总!$A$1:$M$48</definedName>
    <definedName name="_xlnm.Print_Titles" localSheetId="3">商混!$2:$4</definedName>
    <definedName name="_xlnm.Print_Titles" localSheetId="4">'护栏 (单价分析表) (全费用)'!$2:$4</definedName>
    <definedName name="_xlnm.Print_Titles" localSheetId="7">劳务二工区!$1:$5</definedName>
    <definedName name="_xlnm.Print_Titles" localSheetId="6">劳务一工区!$1:$5</definedName>
    <definedName name="_xlnm.Print_Titles" localSheetId="0">总!$1:$5</definedName>
    <definedName name="主要材料">#REF!</definedName>
    <definedName name="_xlnm.Print_Area" localSheetId="2">清单!$A$1:$J$26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jtxm</author>
    <author>Administrator</author>
  </authors>
  <commentList>
    <comment ref="J10" authorId="0">
      <text>
        <r>
          <rPr>
            <b/>
            <sz val="9"/>
            <rFont val="宋体"/>
            <charset val="134"/>
          </rPr>
          <t>jtxm:</t>
        </r>
        <r>
          <rPr>
            <sz val="9"/>
            <rFont val="宋体"/>
            <charset val="134"/>
          </rPr>
          <t xml:space="preserve">
出具价下调7元并取整。</t>
        </r>
      </text>
    </comment>
    <comment ref="J12" authorId="0">
      <text>
        <r>
          <rPr>
            <sz val="9"/>
            <rFont val="宋体"/>
            <charset val="134"/>
          </rPr>
          <t>出具价减8.45.</t>
        </r>
      </text>
    </comment>
    <comment ref="D47" authorId="1">
      <text>
        <r>
          <rPr>
            <b/>
            <sz val="9"/>
            <rFont val="宋体"/>
            <charset val="134"/>
          </rPr>
          <t>Administrator:</t>
        </r>
        <r>
          <rPr>
            <sz val="9"/>
            <rFont val="宋体"/>
            <charset val="134"/>
          </rPr>
          <t xml:space="preserve">
1.8和3.0两种型号合并
</t>
        </r>
      </text>
    </comment>
  </commentList>
</comments>
</file>

<file path=xl/sharedStrings.xml><?xml version="1.0" encoding="utf-8"?>
<sst xmlns="http://schemas.openxmlformats.org/spreadsheetml/2006/main" count="3695" uniqueCount="776">
  <si>
    <t>坡面排水</t>
  </si>
  <si>
    <t>子目号</t>
  </si>
  <si>
    <t>子目名称</t>
  </si>
  <si>
    <t>计量单位</t>
  </si>
  <si>
    <t>工程数量</t>
  </si>
  <si>
    <t>财评单价（元）</t>
  </si>
  <si>
    <t>招标控制价</t>
  </si>
  <si>
    <t>费用组成</t>
  </si>
  <si>
    <t>计量规则</t>
  </si>
  <si>
    <t>工程内容</t>
  </si>
  <si>
    <t>备注</t>
  </si>
  <si>
    <t>甲供材料或构件单价</t>
  </si>
  <si>
    <t>扣除甲供材料或构件的单价</t>
  </si>
  <si>
    <t>单价（元）</t>
  </si>
  <si>
    <t>合价（元）</t>
  </si>
  <si>
    <t>栏次</t>
  </si>
  <si>
    <t>A</t>
  </si>
  <si>
    <t>B</t>
  </si>
  <si>
    <t>C</t>
  </si>
  <si>
    <t>D</t>
  </si>
  <si>
    <t>E=B×D</t>
  </si>
  <si>
    <t>102-2</t>
  </si>
  <si>
    <t>安全生产费</t>
  </si>
  <si>
    <t>项</t>
  </si>
  <si>
    <t>/</t>
  </si>
  <si>
    <t>单价包含全部费用</t>
  </si>
  <si>
    <t>以总额为单位，按甲方批复的方案，在总额范围内以开支据实结算</t>
  </si>
  <si>
    <t>按照《安全生产法》规定落实安全生产。</t>
  </si>
  <si>
    <t>按清单建安费总价（不含安全生产费）的1.5%计取，中标后不下浮。</t>
  </si>
  <si>
    <t>104-1</t>
  </si>
  <si>
    <t>临时设施费</t>
  </si>
  <si>
    <t>以总额为单位，按甲方批复的方案，在总额范围内根据工程进度，按40%、30%、30%的比例分三次计量</t>
  </si>
  <si>
    <t>包含施工便道、钢筋加工场地平整及硬化（其中砼甲供）、驻地建设、临时供配电等，乙方编制专项方案，报甲方审批后实施。</t>
  </si>
  <si>
    <t>按清单建安费（不含安全生产费、临时设施费）总价的0.1%计取</t>
  </si>
  <si>
    <t>207</t>
  </si>
  <si>
    <t>207-1</t>
  </si>
  <si>
    <t>边沟</t>
  </si>
  <si>
    <t>-a-1</t>
  </si>
  <si>
    <t>M10浆砌片石边沟</t>
  </si>
  <si>
    <t>m3</t>
  </si>
  <si>
    <t>单价包含除片石以外的全部费用</t>
  </si>
  <si>
    <t>依据设计图纸、计量计价规则，在设计量范围内据实计量</t>
  </si>
  <si>
    <t>场地清理，沟槽开挖；地基平整夯实，断面补挖；铺设垫层；石料选择（片石解小、二次转运）、整修、清洗；砂浆制备、运输，砌筑、砂浆饱满、勾缝、安泄水孔、设置变形缝、 养生；回填等全部工作内容。</t>
  </si>
  <si>
    <t>-a-2</t>
  </si>
  <si>
    <t>M7.5浆砌片石沟渠</t>
  </si>
  <si>
    <t>场地清理，沟槽开挖；地基平整夯实，断面补挖；铺设垫层；石料选择（片石解小、二次转运）、整修、清洗；砂浆拌制、运输，砌筑、砂浆饱满、勾缝、安泄水孔、设置变形缝、 养生；回填等全部工作内容。</t>
  </si>
  <si>
    <t>-a-3</t>
  </si>
  <si>
    <t>M10砂浆沟渠抹面</t>
  </si>
  <si>
    <t>m2</t>
  </si>
  <si>
    <t>包含勾缝及抹面工作：
勾缝：剔缝，洗刷，配、拌、运砂浆，勾缝，养护。
抹面：清扫、洗刷，配、拌、运砂浆，抹平，养护。</t>
  </si>
  <si>
    <t>-c</t>
  </si>
  <si>
    <t>现浇混凝土</t>
  </si>
  <si>
    <t>-c-1</t>
  </si>
  <si>
    <t>C20现浇混凝土</t>
  </si>
  <si>
    <t>单价包含除混凝土以外的全部费用</t>
  </si>
  <si>
    <t>场地清理，沟槽开挖；地基平整夯实，断面补挖；铺设垫层；模板制作、安装、拆除；混凝土垂直及水平运输、浇筑、振捣养护；回填等全部工作内容。</t>
  </si>
  <si>
    <t>-d</t>
  </si>
  <si>
    <t>预制安装混凝土</t>
  </si>
  <si>
    <t>-d-1</t>
  </si>
  <si>
    <t>C20预制混凝土</t>
  </si>
  <si>
    <t>单价包含除预制混凝土以外的全部费用</t>
  </si>
  <si>
    <t>场地清理；预制块装运（乙方到甲方指定预制场装运）、卸货、安装；嵌缝，场地清理等全部工作内容。</t>
  </si>
  <si>
    <t>-e</t>
  </si>
  <si>
    <t>预制安装混凝土盖板</t>
  </si>
  <si>
    <t>-e-1</t>
  </si>
  <si>
    <t>C30预制混凝土盖板</t>
  </si>
  <si>
    <t>单价包含除预制混凝土、钢筋以外的全部费用</t>
  </si>
  <si>
    <t>场地清理；盖板预制块安装；盖板调平、调直；嵌缝，场地清理；场内转运等全部工作内容。</t>
  </si>
  <si>
    <t>207-2</t>
  </si>
  <si>
    <t>排水沟</t>
  </si>
  <si>
    <t>M7.5浆砌片石排水沟</t>
  </si>
  <si>
    <t>场地清理，沟槽开挖；地基平整夯实，断面补挖；铺设垫层；石料选择（片石解小、二次转运）、整修、清洗；砂浆拌制、运输，砌筑、砂浆饱满、抹面、安泄水孔、设置变形缝、 养生；回填等全部工作内容。</t>
  </si>
  <si>
    <t>207-3</t>
  </si>
  <si>
    <t>截水沟</t>
  </si>
  <si>
    <t>C20混凝土截水沟（含土工布）</t>
  </si>
  <si>
    <t>单价包含除混凝土、土工布以外的全部费用</t>
  </si>
  <si>
    <t>207-4</t>
  </si>
  <si>
    <t>跌水与急流槽</t>
  </si>
  <si>
    <t>-b-1</t>
  </si>
  <si>
    <t>M10浆砌片石急流槽</t>
  </si>
  <si>
    <t>C20混凝土急流槽</t>
  </si>
  <si>
    <t>场地清理，沟槽开挖；地基平整夯实，断面补挖；铺设垫层；模板制作、安装、拆除；混凝土垂直及水平运输、浇筑、振捣养护； 回填等全部工作内容。</t>
  </si>
  <si>
    <t>单价包含除混凝土、钢筋以外的全部费用</t>
  </si>
  <si>
    <t>207-5</t>
  </si>
  <si>
    <t>渗沟</t>
  </si>
  <si>
    <t>m</t>
  </si>
  <si>
    <t>单价包含除碎石、透水管材料外全部费用</t>
  </si>
  <si>
    <t>场地清理，沟槽开挖；进出水口处理；铺设防渗材料；铺设透水管及泄水管； 填料填筑及夯实；设置反滤层；设置封闭层； 现场清理等全部工作内容</t>
  </si>
  <si>
    <t>207-11</t>
  </si>
  <si>
    <t>片石盲沟</t>
  </si>
  <si>
    <t>单价包含除片石材料外全部费用</t>
  </si>
  <si>
    <t>场地清理，沟槽开挖；石料选择（片石解小、二次转运）、整修、清洗；填料填筑及夯实；设置封闭层；现场清理等全部工作内容。</t>
  </si>
  <si>
    <t>207-12</t>
  </si>
  <si>
    <t>排水管</t>
  </si>
  <si>
    <t>-a</t>
  </si>
  <si>
    <t>D=0.6m排水管</t>
  </si>
  <si>
    <t>单价包含除混凝土管、混凝土外全部费用</t>
  </si>
  <si>
    <t>基槽开挖填筑；垫层、基础及包管混凝土浇筑；排水管卸车及安放；接头处理；回填、压实；出水口处理等全部工作内容。</t>
  </si>
  <si>
    <t>-b</t>
  </si>
  <si>
    <t>Ф75砼圆管涵</t>
  </si>
  <si>
    <t>314</t>
  </si>
  <si>
    <t>路面及中央分隔带排水</t>
  </si>
  <si>
    <t>314-1</t>
  </si>
  <si>
    <t>单价包含除混凝土、PVC塑料管、片石、预制混凝土块外全部费用</t>
  </si>
  <si>
    <t>1.基槽开挖填筑； 2.垫层（基础）铺筑； 3.安放排水管； 4.铺砌混凝土预制块急流槽； 5.制备砂浆； 6.回填、压实； 7.出水口处理。</t>
  </si>
  <si>
    <t>314-2</t>
  </si>
  <si>
    <t>纵向排水沟</t>
  </si>
  <si>
    <t>单价包含除预制混凝土块、土工布、砂砾外全部费用</t>
  </si>
  <si>
    <t>1.基槽开挖填筑； 2.垫层（基础）铺筑； 3.铺设土工布； 4.铺砌预制混凝土块排水沟； 5.制备砂浆； 6.回填、压实； 7.出水口处理。</t>
  </si>
  <si>
    <t>314-3</t>
  </si>
  <si>
    <t>集水井</t>
  </si>
  <si>
    <t>座</t>
  </si>
  <si>
    <t>单价包含除混凝土、钢筋、预制混凝土块、网格滤网外全部费用</t>
  </si>
  <si>
    <t>1.基坑开挖；2.地基平整夯实，垫层及基础施工；3.模板制作、安装、拆除、修理；4.钢筋制作与安装；5.预制块安装；6.混凝土拌和、运输、浇筑、养护；7.井壁外围回填，夯实。</t>
  </si>
  <si>
    <t>314-4</t>
  </si>
  <si>
    <t>中央分隔带渗沟</t>
  </si>
  <si>
    <t>单价包含除波纹管、土工布、碎石外全部费用</t>
  </si>
  <si>
    <t>1.基槽开挖；2.垫层（基础）铺筑；3.制管、打孔；4.安放排水管；5.接头处理；6.填碎石、铺设土工布；7.回填、压实。</t>
  </si>
  <si>
    <t>314-9</t>
  </si>
  <si>
    <t>清淤井</t>
  </si>
  <si>
    <t>单价包含除混凝土、钢筋、砂砾外全部费用</t>
  </si>
  <si>
    <t>1.基坑开挖；2.地基平整夯实，垫层及基础施工；3.模板制作、安装、拆除、修理；4.钢筋制作与安装； 5.混凝土拌和、运输、浇筑、养护；6.井壁外围回填，夯实。</t>
  </si>
  <si>
    <t>合计（含增值税）</t>
  </si>
  <si>
    <t xml:space="preserve">说明：
（1）除《工程量清单》中注明的以外，各清单项目单价中已包含了乙方为完成各项目需要的劳务、机械、辅助材料及配件、水电气、安装、缺陷修复、利润、环保、文明施工、调遣（进出场）、临时工程的建设与拆除、治安管理等费用，税金，动力费用（燃油、电力等）；材料、设备二次倒运费用；工料机涨价引起的风险费用；测量复核引起的临时停工费用；建设单位、监理等检查引起的停工费用；各类保险费用；甲供材料、周转料、机械设备的看护费用；管理费用；第三方配合费或其他在施工中需要乙方配合的费用，以及合同明示或暗示的所有责任、义务和一般风险等。      </t>
  </si>
  <si>
    <t>（2）本清单综合单价已包含企业管理费、措施费、规费、利润及税金，不再另行计价。</t>
  </si>
  <si>
    <t>（3）综合单价内已分摊承包人临时供水与排污设施费等费用，不再另列。</t>
  </si>
  <si>
    <t>（4）临时设施费中已包含临电架设费用，甲方不再提供电源接入点。</t>
  </si>
  <si>
    <t>（5）本清单除费用组成明确除外材料以外，其余材料均由乙方提供（如砂浆、U型钉、模板、小型机具等），部分辅助工序已计入相应清单综合单价中，不再另列。</t>
  </si>
  <si>
    <t>（6）乙方投标前应进行现场踏勘并充分理解设计文件。本清单所列项目及所标综合单价，视为乙方已进行充分的现场踏勘并完全理解本工程的设计人设计意图清单，未列项目单价已包含在综合单价内，施工过程中不得以现场原因或本次招标设计施工图未明确为理由增项或调整综合单价（因甲方原因需要减少的除外）。</t>
  </si>
  <si>
    <t>（7）本次拟招标项目场内材料最高损耗系数为：钢筋2.5%，碎石2%，土工布2%，土工格栅2%，土工格室2%，片石2%，其他混凝土吊送为：2.0%、输送泵4%，其他未列材料损耗系数详见甲方物资管理办法。</t>
  </si>
  <si>
    <t>（8）现场施工测量放线由乙方负责。</t>
  </si>
  <si>
    <t>（9）乙方负责自购材料检验试验，其余检验试验由甲方负责，乙方配合。</t>
  </si>
  <si>
    <t>（10）乙方在施工过程中开挖出来的土石方、拆除建筑等全部材料的所有权归甲方，乙方不得擅自处理。</t>
  </si>
  <si>
    <t>主要修改</t>
  </si>
  <si>
    <t>1、砂浆项目部提供水泥、砂、石粉等，劳务单位拌制。
2、预制类不招，后期单独列预制砼清单。
3、片石盲沟不招，项目部自行实施。
4、D=0.6排水管不招，项目部自行实施。
5、沟槽开挖全部由项目部自行实施，劳务单位仅人工清底。
6、中央分隔带渗沟不招，由项目部自行实施。
7、桥梁锥坡之前招了部分，避免后期劳务单位扯皮，剩余锥坡不招，项目部自行实施。
8.路堑边沟工程量暂时纳入本次招标，如后期采用滑模施工将其剃除。</t>
  </si>
  <si>
    <t>附件1：</t>
  </si>
  <si>
    <t>国道350线广安枣山至武胜段公路改建工程项目养护工区停车区
门窗采购及安装工程量清单</t>
  </si>
  <si>
    <t>单位</t>
  </si>
  <si>
    <t>数量</t>
  </si>
  <si>
    <t>建议最高限价（不含增值税，元）</t>
  </si>
  <si>
    <t>项目特征</t>
  </si>
  <si>
    <t>工作内容</t>
  </si>
  <si>
    <t>单价</t>
  </si>
  <si>
    <t>合价</t>
  </si>
  <si>
    <t>门窗工程</t>
  </si>
  <si>
    <t/>
  </si>
  <si>
    <t>地弹门</t>
  </si>
  <si>
    <t>㎡</t>
  </si>
  <si>
    <t>单价包含除增值税外的全部费用</t>
  </si>
  <si>
    <t>依据设计图纸及工程量清单计价规则，在设计量范围内据实计量</t>
  </si>
  <si>
    <t>1.门代号及洞口尺寸：详见设计；2.门框或扇外围尺寸：详见设计；3.门框、扇材质：隔热铝合金；4.玻璃品种、厚度：6高透光Low-E+12A+6透明</t>
  </si>
  <si>
    <t>1.门安装
2.五金安装
3.玻璃安装</t>
  </si>
  <si>
    <t>甲级钢制防火门</t>
  </si>
  <si>
    <t>1.门代号及洞口尺寸：综合考虑；2.门框或扇外围尺寸：详见设计；3.门框、扇材质：详见设计</t>
  </si>
  <si>
    <t>乙级钢制防火门</t>
  </si>
  <si>
    <t>丙级钢制防火门</t>
  </si>
  <si>
    <t>防火卷帘门</t>
  </si>
  <si>
    <t>1.门代号及洞口尺寸：详见设计；2.门材质：钢制；3.启动装置品种、规格：详见设计</t>
  </si>
  <si>
    <t>1.门运输、安装
2.启动装置、活动小门、五金安装</t>
  </si>
  <si>
    <t>铝合金窗</t>
  </si>
  <si>
    <t>1.窗代号及洞口尺寸：综合考虑；2.框、扇材质：断桥铝合金；3.玻璃品种、厚度：6高透光Low-E+12A+6透明</t>
  </si>
  <si>
    <t>1.窗安装
2.五金、玻璃安装</t>
  </si>
  <si>
    <t>金属百叶窗（空调）</t>
  </si>
  <si>
    <t>1.窗代号及洞口尺寸：详见设计；2.框、扇材质：详见设计；3.其他：具体做法详西南集18J516-42-2</t>
  </si>
  <si>
    <t>1.窗安装
2.五金安装</t>
  </si>
  <si>
    <t>金属百叶窗（屋面风口）</t>
  </si>
  <si>
    <t>1.窗代号及洞口尺寸：详见设计；2.框、扇材质：详见设计；3.其他：具体做法详见设计</t>
  </si>
  <si>
    <t>墙、柱面装饰与隔断、幕墙工程</t>
  </si>
  <si>
    <t>金属格栅窗</t>
  </si>
  <si>
    <t>1.窗代号及洞口尺寸：详见设计；2.框外围尺寸：详见设计；3.框、扇材质：详见设计；4.其他：满足设计及规范要求</t>
  </si>
  <si>
    <t>不含税小计</t>
  </si>
  <si>
    <t>13%税金</t>
  </si>
  <si>
    <t>含税合计</t>
  </si>
  <si>
    <t xml:space="preserve">说明：
（1）除《工程量清单》中注明的以外，各清单项目单价中已包含了乙方为完成各项目需要的劳务、机械、辅助材料及配件、水电气、安装、缺陷修复、利润、环保、安全文明施工、调遣（进出场）、临时工程的建设与拆除、治安管理等费用，税金（不含增值税），动力费用（燃油、电力等）；材料、设备二次倒运费用；工料机涨价引起的风险费用；工程变更、测量复核、现场检测等引起的临时停工或怠工费用；建设单位、监理等检查引起的停工费用；各类保险费用；甲供材料、周转料、机械设备的看护费用；管理费用；第三方配合费或其他在施工中需要乙方配合的费用，以及合同明示或暗示的所有责任、义务和一般风险等。      </t>
  </si>
  <si>
    <t>（2）本清单综合单价已包含企业管理费、措施费、规费、利润及税金（不含增值税），不再另行计价。</t>
  </si>
  <si>
    <t>（3）本清单综合单价内已分摊承包人临时供水供电与排污设施费等费用，不再另列。</t>
  </si>
  <si>
    <t>（4）凡本清单中未明确由甲方负责的工作，均由乙方负责，并且这些工作所涉及的人工、材料、机械、管理费、税金等一切费用全部包含在本清单单价内。</t>
  </si>
  <si>
    <t>（5）乙供材料须严格按照设计图纸及甲方要求提供，每车次材料到场须经甲方检测验收合格后方可投入使用。</t>
  </si>
  <si>
    <t>（6）所有材料包括：铁丝、铁件、木材、模板等辅助工作用料，均由乙方负责。</t>
  </si>
  <si>
    <t>（7）大型机械（吊车、运输车、挖机、泵车等）、小型机具（包括但不限于切割机、焊机、发电设备、运输设备等）均由乙方负责。</t>
  </si>
  <si>
    <t>（8）本清单数量为预计数量，数量以实际结算数量为准。</t>
  </si>
  <si>
    <t>广武路改建工程
剩余混凝土工程量清单及招标限价分析表</t>
  </si>
  <si>
    <t>序号</t>
  </si>
  <si>
    <t>名称</t>
  </si>
  <si>
    <t>规格型号</t>
  </si>
  <si>
    <t>项目部报送单价（不含税到场）</t>
  </si>
  <si>
    <t>项目部合计</t>
  </si>
  <si>
    <t>2026.2.5市场询价（不含税到场）</t>
  </si>
  <si>
    <t>2026.2.25市场询价（不含税到场价）</t>
  </si>
  <si>
    <t>询价平均价</t>
  </si>
  <si>
    <t>建议最高限价
(不含税到场价)</t>
  </si>
  <si>
    <t>审核依据</t>
  </si>
  <si>
    <t>广安金桂建材
13982677682</t>
  </si>
  <si>
    <t>岳池银泰商砼
18181849065</t>
  </si>
  <si>
    <t>武胜宝鑫建材
18181846824</t>
  </si>
  <si>
    <t>1</t>
  </si>
  <si>
    <t>混凝土</t>
  </si>
  <si>
    <t>C20</t>
  </si>
  <si>
    <t>建议按照询价平均价作为招标限价</t>
  </si>
  <si>
    <t>含税到场价</t>
  </si>
  <si>
    <t>2</t>
  </si>
  <si>
    <t>C20细石砼</t>
  </si>
  <si>
    <t>3</t>
  </si>
  <si>
    <t>C25</t>
  </si>
  <si>
    <t>4</t>
  </si>
  <si>
    <t>C25细石砼</t>
  </si>
  <si>
    <t>5</t>
  </si>
  <si>
    <t>C30</t>
  </si>
  <si>
    <t>6</t>
  </si>
  <si>
    <t>C30小石子砼</t>
  </si>
  <si>
    <t>7</t>
  </si>
  <si>
    <t>C30水下砼</t>
  </si>
  <si>
    <t>8</t>
  </si>
  <si>
    <t>C40</t>
  </si>
  <si>
    <t>9</t>
  </si>
  <si>
    <t>C40小石子砼</t>
  </si>
  <si>
    <t>10</t>
  </si>
  <si>
    <t>C40钢钎维防水砼</t>
  </si>
  <si>
    <t>11</t>
  </si>
  <si>
    <t>C50</t>
  </si>
  <si>
    <r>
      <rPr>
        <sz val="18"/>
        <rFont val="宋体"/>
        <charset val="134"/>
      </rPr>
      <t>附件</t>
    </r>
    <r>
      <rPr>
        <sz val="18"/>
        <rFont val="Arial"/>
        <charset val="134"/>
      </rPr>
      <t>1</t>
    </r>
  </si>
  <si>
    <t>镀锌立柱</t>
  </si>
  <si>
    <t>钢板</t>
  </si>
  <si>
    <t>钢筋</t>
  </si>
  <si>
    <t>波形钢板</t>
  </si>
  <si>
    <t>反光膜</t>
  </si>
  <si>
    <t>碎石</t>
  </si>
  <si>
    <t>国道350线广安枣山至武胜段公路改建工程
交安工程专业分包清单单价分析表</t>
  </si>
  <si>
    <t>前枣路2019年合同价</t>
  </si>
  <si>
    <t>广前路隐患工程2019年合同价（元）</t>
  </si>
  <si>
    <t>前枣小平大道2021年1月合同价（元）</t>
  </si>
  <si>
    <t>项目部上报价（元）
(含税到场价)</t>
  </si>
  <si>
    <t>单价分析（元）
(含税到场价)</t>
  </si>
  <si>
    <t>建议控制价（元）
(含税到场价)</t>
  </si>
  <si>
    <t>型钢</t>
  </si>
  <si>
    <t>铝板</t>
  </si>
  <si>
    <t>螺栓</t>
  </si>
  <si>
    <t>加工费+镀锌</t>
  </si>
  <si>
    <t>小件加工费+镀锌</t>
  </si>
  <si>
    <t>安装费</t>
  </si>
  <si>
    <t>材料费</t>
  </si>
  <si>
    <t>管理费及利润（8%）</t>
  </si>
  <si>
    <t>税金（9%）</t>
  </si>
  <si>
    <t>单价（下浮15%）</t>
  </si>
  <si>
    <t>E</t>
  </si>
  <si>
    <t>F</t>
  </si>
  <si>
    <t>G</t>
  </si>
  <si>
    <t>H</t>
  </si>
  <si>
    <t>H=C*G</t>
  </si>
  <si>
    <t>I</t>
  </si>
  <si>
    <t>J</t>
  </si>
  <si>
    <t>K=(I+J)*8%</t>
  </si>
  <si>
    <t>L=(I+J+K)*9%</t>
  </si>
  <si>
    <t>M=I+J+K+L</t>
  </si>
  <si>
    <t>N=M*(1-15%)</t>
  </si>
  <si>
    <t>O=C*N</t>
  </si>
  <si>
    <t>P</t>
  </si>
  <si>
    <t>Q</t>
  </si>
  <si>
    <t>602-3</t>
  </si>
  <si>
    <t>波形梁钢护栏</t>
  </si>
  <si>
    <t>路侧波形梁钢护栏</t>
  </si>
  <si>
    <t>端头段钢板</t>
  </si>
  <si>
    <t>端头混凝土</t>
  </si>
  <si>
    <t>Gr-A-2E（含端头加强段，不含端头）</t>
  </si>
  <si>
    <t>336.14</t>
  </si>
  <si>
    <t>单价包含除混凝土以外的全部费用。</t>
  </si>
  <si>
    <t>依据设计图纸、计量计价规则，在设计量范围内据实计量。</t>
  </si>
  <si>
    <t>材料装卸、运输、堆放、制作、钻孔、安装、调形，交工前的维护、修补等全部工作内容。</t>
  </si>
  <si>
    <t>甲方限额提供混凝土。</t>
  </si>
  <si>
    <t>Gr-A-4E（含端头加强段及护栏过渡段，不含端头）</t>
  </si>
  <si>
    <t>253.61</t>
  </si>
  <si>
    <t>Gr-A-4C（含端头加强段及护栏过渡段，不含端头）</t>
  </si>
  <si>
    <t>299.25</t>
  </si>
  <si>
    <t>单价包含除混凝土、基础钢筋以外的全部费用。</t>
  </si>
  <si>
    <t>甲方限额提供混凝土、钢筋。</t>
  </si>
  <si>
    <t>-a-4</t>
  </si>
  <si>
    <t>桥梁过渡段（不含端头）</t>
  </si>
  <si>
    <t>350.29</t>
  </si>
  <si>
    <t>-a-5</t>
  </si>
  <si>
    <t>Gr-B-2E(改路)</t>
  </si>
  <si>
    <t>246.92</t>
  </si>
  <si>
    <t>中央分隔带波形梁钢护栏</t>
  </si>
  <si>
    <t>Gr-Am-4E（含端头加强段，不含端头）</t>
  </si>
  <si>
    <t>265.88</t>
  </si>
  <si>
    <t>波形梁钢护栏端头</t>
  </si>
  <si>
    <t>-a-6</t>
  </si>
  <si>
    <t>路侧普通护栏端头D-1（AT1/AT2)</t>
  </si>
  <si>
    <t>个</t>
  </si>
  <si>
    <t>单价包含全部费用。</t>
  </si>
  <si>
    <t>-b-2</t>
  </si>
  <si>
    <t>中央带及三角地段护栏端头D-2</t>
  </si>
  <si>
    <t>604</t>
  </si>
  <si>
    <t>道路交通标志</t>
  </si>
  <si>
    <t>604-1</t>
  </si>
  <si>
    <t>单柱式交通标志</t>
  </si>
  <si>
    <t>立柱</t>
  </si>
  <si>
    <t>□80×80</t>
  </si>
  <si>
    <t>1827.30</t>
  </si>
  <si>
    <t>831.4（□1000×1000，不含基础）</t>
  </si>
  <si>
    <t>1164.22（不含基础）</t>
  </si>
  <si>
    <t>〇80</t>
  </si>
  <si>
    <t>1474.68</t>
  </si>
  <si>
    <t>711（φ1000不含基础）</t>
  </si>
  <si>
    <t>1009.17（φ1000不含基础）</t>
  </si>
  <si>
    <t>〇80+△90</t>
  </si>
  <si>
    <t>2008.59</t>
  </si>
  <si>
    <t>〇80+〇80</t>
  </si>
  <si>
    <t>1687.22</t>
  </si>
  <si>
    <t>△90+□90×30</t>
  </si>
  <si>
    <t>1851.25</t>
  </si>
  <si>
    <t>-f</t>
  </si>
  <si>
    <t>□147×77+□147×55</t>
  </si>
  <si>
    <t>2086.03</t>
  </si>
  <si>
    <t>-g</t>
  </si>
  <si>
    <t>□147×77+□147×55+〇80</t>
  </si>
  <si>
    <t>2958.49</t>
  </si>
  <si>
    <t>604-5</t>
  </si>
  <si>
    <t>单悬臂式交通标志</t>
  </si>
  <si>
    <t>□240×620</t>
  </si>
  <si>
    <t>34000.69</t>
  </si>
  <si>
    <t>□260×430</t>
  </si>
  <si>
    <t>29961.71</t>
  </si>
  <si>
    <t>□290×510</t>
  </si>
  <si>
    <t>32865.60</t>
  </si>
  <si>
    <t>□335×320</t>
  </si>
  <si>
    <t>29582.83</t>
  </si>
  <si>
    <t>□355×410</t>
  </si>
  <si>
    <t>31561.18</t>
  </si>
  <si>
    <t>□385×410</t>
  </si>
  <si>
    <t>31714.71</t>
  </si>
  <si>
    <t>□435×410</t>
  </si>
  <si>
    <t>32543.30</t>
  </si>
  <si>
    <t>-h</t>
  </si>
  <si>
    <t>□420×348</t>
  </si>
  <si>
    <t>31231.36</t>
  </si>
  <si>
    <t>21500.60（500×350，不含基础）</t>
  </si>
  <si>
    <t>14377.06（480×240不含基础）</t>
  </si>
  <si>
    <t>-i</t>
  </si>
  <si>
    <t>□430×320</t>
  </si>
  <si>
    <t>30892.60</t>
  </si>
  <si>
    <t>-j</t>
  </si>
  <si>
    <t>31468.30</t>
  </si>
  <si>
    <t>-k</t>
  </si>
  <si>
    <t>□320×510</t>
  </si>
  <si>
    <t>32861.54</t>
  </si>
  <si>
    <t>-l</t>
  </si>
  <si>
    <t>□350×510</t>
  </si>
  <si>
    <t>32965.80</t>
  </si>
  <si>
    <t>-m</t>
  </si>
  <si>
    <t>□395×510</t>
  </si>
  <si>
    <t>35195.78</t>
  </si>
  <si>
    <t>□290×680</t>
  </si>
  <si>
    <t>36031.23</t>
  </si>
  <si>
    <t>604-8-a</t>
  </si>
  <si>
    <t>里程碑（中分带）</t>
  </si>
  <si>
    <t>128.11</t>
  </si>
  <si>
    <t>中分带</t>
  </si>
  <si>
    <t>604-8-b</t>
  </si>
  <si>
    <t>里程碑（路侧）</t>
  </si>
  <si>
    <t>路侧</t>
  </si>
  <si>
    <t>604-9</t>
  </si>
  <si>
    <t>公路界碑</t>
  </si>
  <si>
    <t>86.92</t>
  </si>
  <si>
    <t>604-10</t>
  </si>
  <si>
    <t>百米桩</t>
  </si>
  <si>
    <t>13.78</t>
  </si>
  <si>
    <t>采用项目部上报价</t>
  </si>
  <si>
    <t>605</t>
  </si>
  <si>
    <t>道路交通标线</t>
  </si>
  <si>
    <t>605-1</t>
  </si>
  <si>
    <t>热熔型涂料路面标线（厚度1.8mm、3.0mm）</t>
  </si>
  <si>
    <t>42.87（48.92）</t>
  </si>
  <si>
    <t>29.48
（2.5mm33.93）</t>
  </si>
  <si>
    <t>厚度1.8mm和3.0mm</t>
  </si>
  <si>
    <t>605-5</t>
  </si>
  <si>
    <t>轮廓标</t>
  </si>
  <si>
    <t>轮廓标（De-Rbw-At1)</t>
  </si>
  <si>
    <t>5.58</t>
  </si>
  <si>
    <t>现场清理、打孔、安装、安全管控等所有工作内容。</t>
  </si>
  <si>
    <t>轮廓标（De-Rbw-At2)</t>
  </si>
  <si>
    <t>605-6</t>
  </si>
  <si>
    <t>立面标记</t>
  </si>
  <si>
    <t>29.17</t>
  </si>
  <si>
    <t>605-8</t>
  </si>
  <si>
    <t>橡胶减速带</t>
  </si>
  <si>
    <t>171.72</t>
  </si>
  <si>
    <t>605-10</t>
  </si>
  <si>
    <t>减速振荡标线</t>
  </si>
  <si>
    <t>92.35</t>
  </si>
  <si>
    <t>606</t>
  </si>
  <si>
    <t>防眩设施</t>
  </si>
  <si>
    <t>606-1</t>
  </si>
  <si>
    <t>防眩板</t>
  </si>
  <si>
    <t>块</t>
  </si>
  <si>
    <t>66.74</t>
  </si>
  <si>
    <t>609</t>
  </si>
  <si>
    <t>道口桩</t>
  </si>
  <si>
    <t>200.00</t>
  </si>
  <si>
    <t>参考建材在线价格</t>
  </si>
  <si>
    <t xml:space="preserve">说明：
（1）除《工程量清单》中注明的以外，各清单项目单价中已包含了乙方为完成各项目需要的劳务、机械、辅助材料及配件、水电气、安装、缺陷修复、利润、环保、文明施工、调遣（进出场）、临时工程的建设与拆除、治安管理等费用，税金，动力费用（燃油、电力等）；材料、设备二次倒运费用；工料机涨价引起的风险费用；工程变更、测量复核、现场检测等引起的临时停工或怠工费用；建设单位、监理等检查引起的停工费用；各类保险费用；甲供材料、周转料、机械设备的看护费用；管理费用；第三方配合费或其他在施工中需要乙方配合的费用，以及合同明示或暗示的所有责任、义务和一般风险等。      </t>
  </si>
  <si>
    <t>（5）乙供材料须严格按照设计图纸要求提供，每车次材料到场须经甲方检测验收合格后方可投入使用。特别说明：标志板面颜色按照GB5768-2009执行，标志板面采用IV类反光膜。</t>
  </si>
  <si>
    <t>（6）甲方限额提供混凝土至施工地点，乙方负责机械无法到达的材料的垂直及水平运输；其余材料包括：铁丝、铁件、木材、模板等辅助工作用料，其余材料均由乙方负责。</t>
  </si>
  <si>
    <t>广武路改建工程综合劳务一工区（K1+460-K8+420.118）招标控制价</t>
  </si>
  <si>
    <t>预算单价（元）</t>
  </si>
  <si>
    <t>项目申报劳务单价（元）</t>
  </si>
  <si>
    <t>劳务控制价合计（元）</t>
  </si>
  <si>
    <t>E=C×D</t>
  </si>
  <si>
    <t>单价包含全部费用，由乙方包干使用</t>
  </si>
  <si>
    <t>根据工程进度，按照40%，30%，30%的比例分三次计量</t>
  </si>
  <si>
    <t>包含施工便道、钢筋加工场地平整及硬化（其中砼甲供）、驻地建设等，乙方编制专项方案经甲方审批后执行。</t>
  </si>
  <si>
    <t>临时供电设施、线路和设备</t>
  </si>
  <si>
    <t>临时供电设施、设备，线路的架设、安装、维护、拆除等相关内容。</t>
  </si>
  <si>
    <t>209</t>
  </si>
  <si>
    <t>挡土墙</t>
  </si>
  <si>
    <t>209-1</t>
  </si>
  <si>
    <t>垫层</t>
  </si>
  <si>
    <t>碎石垫层</t>
  </si>
  <si>
    <t>单价包含除碎石材料外的全部费用</t>
  </si>
  <si>
    <t>依据设计图纸及计价规则，在设计量范围内据实计量</t>
  </si>
  <si>
    <t>基底清理；临时排水；分层铺筑；分层碾压至设计要求。</t>
  </si>
  <si>
    <t>209-2</t>
  </si>
  <si>
    <t>基础</t>
  </si>
  <si>
    <t>C20混凝土基础</t>
  </si>
  <si>
    <t>路肩墙</t>
  </si>
  <si>
    <t>单价包含除混凝土外全部费用</t>
  </si>
  <si>
    <t>测量放线、基坑开挖、清理、平整、夯实；模板制作、安装、拆除；混凝土垂直及水平运输；浇筑、振捣；养护；回填；清理现场。</t>
  </si>
  <si>
    <t>乙方负责模板、现场吊装、转运、振捣设备。</t>
  </si>
  <si>
    <t>209-5</t>
  </si>
  <si>
    <t>混凝土挡土墙</t>
  </si>
  <si>
    <t>测量放线、基坑开挖、清理、平整、夯实；模板制作、安装、拆除；混凝土垂直及水平运输、浇筑、振捣）、养护；泄水孔及其滤水层、沉降缝设置；墙背填料分层填筑；清理，弃方处理。</t>
  </si>
  <si>
    <t>乙方负责模板、现场吊装、转运，转运、振捣设备。</t>
  </si>
  <si>
    <t>测量放线、基坑开挖、清理、平整、夯实；模板制作、安装、拆除；脚手架搭设，混凝土垂直及水平运输、浇筑、养护；泄水孔及其滤水层、沉降缝设置；墙背填料分层填筑；清理，弃方处理。</t>
  </si>
  <si>
    <t>K4+764 广武四号中桥(1-30m预应力砼简支T梁)</t>
  </si>
  <si>
    <t>403</t>
  </si>
  <si>
    <t>403-1</t>
  </si>
  <si>
    <t>基础钢筋（含灌注桩、承台、桩系梁、沉桩、沉井等）</t>
  </si>
  <si>
    <t>带肋钢筋（HRB335、HRB400）</t>
  </si>
  <si>
    <t>kg</t>
  </si>
  <si>
    <t>单价包含除钢筋、套筒外全部费用</t>
  </si>
  <si>
    <t>场地平整，硬化排水；钢筋卸车、堆放、调直、除锈、切断、弯制、焊接（套筒连接）、绑扎、切头车丝、接长、对接，安放、定位、校正等；半成品及成品的运输及装卸车等全部工作内容。</t>
  </si>
  <si>
    <t>403-2</t>
  </si>
  <si>
    <t>下部结构钢筋</t>
  </si>
  <si>
    <t>场地平整，硬化排水钢筋卸车、堆放、调直、除锈、切断、弯制、焊接（套筒连接）、绑扎、切头车丝、接长、对接，安放、定位、校正等；半成品及成品的运输及装卸车等全部工作内容。</t>
  </si>
  <si>
    <t>D6钢筋网</t>
  </si>
  <si>
    <t>单价包含除钢筋网外全部费用</t>
  </si>
  <si>
    <t>钢筋网卸车、储存、保护及除锈；钢筋网铺设、搭接等全部工作内容。</t>
  </si>
  <si>
    <t>403-4</t>
  </si>
  <si>
    <t>附属结构钢筋</t>
  </si>
  <si>
    <t>404</t>
  </si>
  <si>
    <t>基坑开挖及回填</t>
  </si>
  <si>
    <t>404-1</t>
  </si>
  <si>
    <t>干处挖土方</t>
  </si>
  <si>
    <t>场地清理；围堰、排水；测量放线、基坑开挖、支护、检查、修整；清理工作面、弃方清运；现场扬尘处置设施投入。</t>
  </si>
  <si>
    <t>404-3</t>
  </si>
  <si>
    <t>干处挖石方</t>
  </si>
  <si>
    <t>场地清理；围堰、排水；基坑开挖、支护、检查、修整；清理工作面、弃方清运；现场扬尘处置设施投入。</t>
  </si>
  <si>
    <t>405</t>
  </si>
  <si>
    <t>钻孔灌注桩</t>
  </si>
  <si>
    <t>405-1</t>
  </si>
  <si>
    <t>陆上钻孔灌注桩</t>
  </si>
  <si>
    <t>φ1.5m钻孔灌注桩（机械成孔）</t>
  </si>
  <si>
    <t>单价包含除混凝土、声测管外全部费用</t>
  </si>
  <si>
    <t>现场清理至桩顶标高，安设护筒及设置钻孔平台；钻机安拆，就位；挖设泥浆池，制备泥浆；钻孔、成孔、成孔检查；安装钢筋笼、声测管（钢筋笼吊装设备自备）；混凝土浇筑（导管等机具自备）；破桩头、桩头清理，协助检测单位完成桩基检测；泥浆清理弃运至指定地点。</t>
  </si>
  <si>
    <t>若乙方采用人工挖孔，则招标控制单价为700元/米，按照乙方中标下浮比例进行同比例下浮后执行。乙方负责钻机、钢筋笼吊装设备、导管等机具。</t>
  </si>
  <si>
    <t>410</t>
  </si>
  <si>
    <t>结构混凝土工程</t>
  </si>
  <si>
    <t>410-1</t>
  </si>
  <si>
    <t>混凝土基础（包括支撑梁、桩基承台、桩系梁，但不包括桩基）</t>
  </si>
  <si>
    <t>C30承台</t>
  </si>
  <si>
    <t>场地清理，基坑开挖、人工清基、基坑排水；支架租赁搭设、模板安装、拆除；保护垫块购买安装；涂脱模剂；模板修整；灌注混凝土、振捣）、养生等全部工作内容。</t>
  </si>
  <si>
    <t>乙方负责模板、振捣设备自备。</t>
  </si>
  <si>
    <t>C25扩大基础</t>
  </si>
  <si>
    <t>场地清理，基坑开挖、人工清基、基坑排水；支架租赁搭设、模板安装、拆除；保护垫块购买安装；涂脱模剂；模板修整；灌注混凝土、振捣、养生等全部工作内容。</t>
  </si>
  <si>
    <t>410-2</t>
  </si>
  <si>
    <t>混凝土下部结构</t>
  </si>
  <si>
    <t>桥台混凝土</t>
  </si>
  <si>
    <t>C25台身、侧墙</t>
  </si>
  <si>
    <t>场地清理，基坑开挖、人工清基、基坑排水；支架租赁搭设、模板安装、拆除；涂脱模剂；模板修整；灌注混凝土、振捣、养生等全部工作内容。</t>
  </si>
  <si>
    <t>C30侧墙</t>
  </si>
  <si>
    <t>台帽混凝土</t>
  </si>
  <si>
    <t>C30台帽背墙</t>
  </si>
  <si>
    <t>支架租赁搭设、模板安装、拆除；保护垫块购买安装；涂脱模剂；模板修整；灌注混凝土、振捣、养生等全部工作内容。</t>
  </si>
  <si>
    <t>410-6</t>
  </si>
  <si>
    <t>现浇混凝土附属结构</t>
  </si>
  <si>
    <t>支座垫石</t>
  </si>
  <si>
    <t>C40支座垫石</t>
  </si>
  <si>
    <t>1.模板安装、拆除；保护垫块购买安装；涂脱模剂；模板修整；
2.灌注混凝土、振捣、养生等全部工作内容。</t>
  </si>
  <si>
    <t>锥坡</t>
  </si>
  <si>
    <t>C20锥坡</t>
  </si>
  <si>
    <t>场地清理，基坑开挖、人工清基、基坑排水；模板安装、拆除；涂脱模剂；模板修整；灌注混凝土、振捣、养生等全部工作内容。</t>
  </si>
  <si>
    <t>挡块</t>
  </si>
  <si>
    <t>C30挡块</t>
  </si>
  <si>
    <t>模板安装、拆除；保护垫块购买安装；涂脱模剂；模板修整；灌注混凝土、振捣、养生等全部工作内容。</t>
  </si>
  <si>
    <t>410-7</t>
  </si>
  <si>
    <t>混凝土附属结构</t>
  </si>
  <si>
    <t>C20（正六边形空心砖砌筑）</t>
  </si>
  <si>
    <t>单价包含除空心砖外全部费用</t>
  </si>
  <si>
    <t xml:space="preserve">
搭拆工作平台；场内运输、安装；空心砖砌筑。
</t>
  </si>
  <si>
    <t>K8+150.5 武家河中桥(1-30m预应力砼简支T梁)</t>
  </si>
  <si>
    <t>场地平整，硬化排水钢筋卸车、堆放、调直、除锈、切断、弯制、焊接（套筒连接）、绑扎、切头车丝、接长、对接，安放、定位、校正等；
半成品及成品的运输及装卸车等全部工作内容。</t>
  </si>
  <si>
    <t>场地平整，硬化排水；钢筋卸车、堆放、调直、除锈、切断、弯制、焊接（套筒连接）、绑扎、切头车丝、接长、对接，安放、定位、校正等；半成品及成品运输及装卸车等全部工作内容。</t>
  </si>
  <si>
    <t>场地平整，硬化排水钢筋卸车、堆放、调直、除锈、切断、弯制、焊接（套筒连接）、绑扎、切头车丝、接长、对接，安放、定位、校正等；半成品及成品运输及装卸车等全部工作内容。</t>
  </si>
  <si>
    <t>现场清理至桩顶标高，安设护筒及设置钻孔平台；钻机安拆，就位；挖设泥浆池，制备泥浆；钻孔、成孔、成孔检查；安装钢筋笼、声测管；混凝土浇筑；破桩头、桩头清理，协助检测单位完成桩基检测；泥浆清理弃运至指定地点。</t>
  </si>
  <si>
    <t>乙方负责钻机、钢筋笼吊装设备、导管等机具。</t>
  </si>
  <si>
    <t>乙方负责模板、振捣设备。</t>
  </si>
  <si>
    <t>C25台身</t>
  </si>
  <si>
    <t>C30台帽</t>
  </si>
  <si>
    <t>场地清理，基坑开挖、人工清基、基坑排水；模板安装、拆除；涂脱模剂；模板修整；灌注混凝土、振捣（振捣设备自备）、养生等全部工作内容。</t>
  </si>
  <si>
    <t>C15挡块</t>
  </si>
  <si>
    <t>413</t>
  </si>
  <si>
    <t>砌石工程</t>
  </si>
  <si>
    <t>413-1</t>
  </si>
  <si>
    <t>浆砌片石</t>
  </si>
  <si>
    <t>M10</t>
  </si>
  <si>
    <t>场地清理，开挖成型；地基平整夯实，断面补挖；铺设垫层；石料选择（片石解小、二次转运）、整修、清洗；砂浆拌制、运输，砌筑、砂浆饱满、抹面、安泄水孔、设置变形缝、 养生；回填。</t>
  </si>
  <si>
    <t>乙方负责拌合机具、水泥、砂乙供。</t>
  </si>
  <si>
    <t>K6+653.8车行天桥</t>
  </si>
  <si>
    <t>光圆钢筋（HPB235、HPB300）</t>
  </si>
  <si>
    <t>单价包含除钢筋外全部费用</t>
  </si>
  <si>
    <t>D8钢筋网</t>
  </si>
  <si>
    <t>场地平整，硬化排水钢筋卸车、堆放、调直、除锈、切断、弯制、焊接（套筒连接）、绑扎、切头车丝、接长、对接，安放、定位、校正等；半成品及成品运输及装卸车等设计要求的全部工作内容。</t>
  </si>
  <si>
    <t>C25承台</t>
  </si>
  <si>
    <t>场地清理，基坑开挖、人工清基、基坑排水；支架租赁搭设、模板安装、拆除；保护垫块购买安装；涂脱模剂；模板修整；灌注混凝土、振捣（振捣设备自备）、养生等全部工作内容。</t>
  </si>
  <si>
    <t>-f-2</t>
  </si>
  <si>
    <t>K7+368.5人行天桥</t>
  </si>
  <si>
    <t>场地平整，硬化排水钢筋卸车、堆放、调直、除锈、切断、弯制、焊接（套筒连接）、绑扎、切头车丝、接长、对接，安放、定位、校正等；半成品及成品运输的装卸车等全部工作内容。</t>
  </si>
  <si>
    <t>403-3</t>
  </si>
  <si>
    <t>上部结构钢筋</t>
  </si>
  <si>
    <t>1.依据图纸所示及钢筋表所列钢筋质量以千克为单位计量；
2.固定钢筋的材料、定位架立
钢筋、钢筋接头、吊装钢筋、钢板、铁丝作为钢筋作业的附属工作，不另行计量</t>
  </si>
  <si>
    <t>场地平整，硬化排水钢筋卸车、堆放、调直、除锈、切断、弯制、焊接、绑扎、切头车丝、接长、对接，安放、定位、校正等；半成品及成品运输及装卸车等全部工作内容。</t>
  </si>
  <si>
    <t>1.场地平整，硬化排水
2.钢筋卸车、堆放、调直、除锈、切断、弯制、焊接（套筒连接）、绑扎、切头车丝、接长、对接，安放、定位、校正等；
3.半成品及成品运输及装卸车等全部工作内容。</t>
  </si>
  <si>
    <t>套筒由甲方提供，费用由乙方承担。</t>
  </si>
  <si>
    <t>500×500×30预埋钢板</t>
  </si>
  <si>
    <t>单价包含除钢板外全部费用</t>
  </si>
  <si>
    <t>钢板卸车、保管、安装、定位、调平等全部工作内容。</t>
  </si>
  <si>
    <t>Q235钢管</t>
  </si>
  <si>
    <t>单价包含除钢管外全部费用</t>
  </si>
  <si>
    <t>钢管焊接、安装、定位等全部工作内容。</t>
  </si>
  <si>
    <t>焊接钢管</t>
  </si>
  <si>
    <t>桥墩混凝土</t>
  </si>
  <si>
    <t>C30桥墩</t>
  </si>
  <si>
    <t>盖梁混凝土</t>
  </si>
  <si>
    <t>C30盖梁</t>
  </si>
  <si>
    <t>支架租赁搭设、模板安装）、拆除；保护垫块购买安装；涂脱模剂；模板修整；灌注混凝土、振捣、养生等全部工作内容。</t>
  </si>
  <si>
    <t>乙方负责钢模板、振捣设备。</t>
  </si>
  <si>
    <t>410-4</t>
  </si>
  <si>
    <t>预制混凝土上部结构</t>
  </si>
  <si>
    <t>预制安装箱梁</t>
  </si>
  <si>
    <t>C50预制安装箱梁</t>
  </si>
  <si>
    <t>场地整理、台座制备、预制、养生、运梁、吊梁、架梁、拆除；涂脱模剂；模板修整；灌注混凝土、振捣、养生、预埋梁底钢板等全部工作内容。</t>
  </si>
  <si>
    <t>乙方负责钢模板、预制、安装梁片等设备。</t>
  </si>
  <si>
    <t>混凝土甲供</t>
  </si>
  <si>
    <t>防撞墙</t>
  </si>
  <si>
    <t>C20防撞墙</t>
  </si>
  <si>
    <t>415</t>
  </si>
  <si>
    <t>桥面铺装</t>
  </si>
  <si>
    <t>415-2</t>
  </si>
  <si>
    <t>水泥混凝土桥面铺装</t>
  </si>
  <si>
    <t>C40桥面铺装</t>
  </si>
  <si>
    <t>单价包含除砼外全部费用</t>
  </si>
  <si>
    <t>砼浇筑、振捣、平整、养生、及所需的施工小型机具、材料等设计要求的全部工作内容。</t>
  </si>
  <si>
    <t>415-3</t>
  </si>
  <si>
    <t>防水层</t>
  </si>
  <si>
    <t>铺设防水层</t>
  </si>
  <si>
    <t>单价包含除防水材料外全部费用</t>
  </si>
  <si>
    <t>依据图纸所示位置及尺寸，在桥面铺装前铺设防水材料，按图示铺装净面积分不同材质以平方米为单位计量</t>
  </si>
  <si>
    <t>场地清理；桥面清洁、凿毛；铺装防水材料；安拆作业平台；安设排水设施。</t>
  </si>
  <si>
    <t>415-4</t>
  </si>
  <si>
    <t>桥面排水</t>
  </si>
  <si>
    <t>竖、横向集中排水管</t>
  </si>
  <si>
    <t>铸铁管</t>
  </si>
  <si>
    <t>单价包含除铸铁管外全部费用</t>
  </si>
  <si>
    <t>1.依据图纸所示位置及尺寸，在桥面安设泄水孔，按图示数量分不同材质、管径计量；铸铁管、钢管以千克为单位计量；PVC管以米为单位计量；
2.接头、固定泄水管的金属构件不予计量。铸铁泄水孔作为附属工作，不另行计量</t>
  </si>
  <si>
    <t>场地清理；安拆作业平台；钻孔安设排水管锚固件；安设排水设施。</t>
  </si>
  <si>
    <t>UPVC管</t>
  </si>
  <si>
    <t>单价包含除管材外全部费用</t>
  </si>
  <si>
    <t>416</t>
  </si>
  <si>
    <t>桥梁支座</t>
  </si>
  <si>
    <t>416-1</t>
  </si>
  <si>
    <t>板式橡胶支座</t>
  </si>
  <si>
    <t>GJZ 200 X 300 X 52mm</t>
  </si>
  <si>
    <t>单价包含除支座外全部费用</t>
  </si>
  <si>
    <t>依据图纸所示位置及尺寸，安装图纸所示类型及规格板式橡胶支座就位，按图示体积，分不同的材质及形状以立方分米为单位计量</t>
  </si>
  <si>
    <t>清洁整平混凝土表面；砂浆配运料、拌和，接触面抹平；钢板制作与安装；支座定位安装。</t>
  </si>
  <si>
    <t>431</t>
  </si>
  <si>
    <t>防抛网</t>
  </si>
  <si>
    <t>单价包含除防抛网外全部费用</t>
  </si>
  <si>
    <t>按设计图示尺寸长度计算</t>
  </si>
  <si>
    <t>防抛网所有材料的制作、运输、装卸、吊装、安装、修改、调整、验收等全部工作内容。</t>
  </si>
  <si>
    <t>434</t>
  </si>
  <si>
    <t>M7.5砖砌人行梯步</t>
  </si>
  <si>
    <t>单价包含除材料外全部费用</t>
  </si>
  <si>
    <t>二次转运、砌筑、砂浆饱满、整修、清洗，砂浆拌和（含拌合机具）、抹面、运输，砌筑、含泄水槽、挡水线施工等设计要求的全部工作。</t>
  </si>
  <si>
    <t>乙方负责拌合机具。</t>
  </si>
  <si>
    <t>436</t>
  </si>
  <si>
    <t>拦污网</t>
  </si>
  <si>
    <t>单价包含除主材全部费用</t>
  </si>
  <si>
    <t>拦污网所有材料的制作、运输、装卸、吊装、安装、修改、调整、验收等全部工作内容。</t>
  </si>
  <si>
    <t>台背回填(片碎石填料)</t>
  </si>
  <si>
    <t>单价包含除碎石填料外全部费用</t>
  </si>
  <si>
    <t>基底翻松、压实、挖台阶；临时排水；分层摊铺；洒水、分层摊铺压实至设计要求；整型。</t>
  </si>
  <si>
    <t>K1+708.3人行天桥兼渡槽</t>
  </si>
  <si>
    <t>场地平整，硬化排水；钢筋卸车、堆放、调直、除锈、切断、弯制、焊接、绑扎、切头车丝、接长、对接，安放、定位、校正等；半成品及成品运输及装卸车等全部工作内容。</t>
  </si>
  <si>
    <t>钢管购买、焊接、安装、定位等全部工作内容。</t>
  </si>
  <si>
    <t>φ1.3m钻孔灌注桩（机械成孔）</t>
  </si>
  <si>
    <t>若乙方采用人工挖孔，则招标控制单价为560元/米，按照乙方中标下浮比例进行同比例下浮后执行。乙方负责钻机、钢筋笼吊装设备、导管等机具。</t>
  </si>
  <si>
    <t>C25桥台</t>
  </si>
  <si>
    <t>模板安装、拆除；保护垫块购买安装；涂脱模剂；模板修整；灌注混凝土、振捣、养生等设计要求的全部工作内容。</t>
  </si>
  <si>
    <t>预应力混凝土工程</t>
  </si>
  <si>
    <t>411-5</t>
  </si>
  <si>
    <t>后张法预应力钢绞线</t>
  </si>
  <si>
    <t>单价包含除钢绞线、波纹管、锚具、压浆料外全部费用</t>
  </si>
  <si>
    <t>制作安装预应力钢材；制作安装、定位管道；安装锚具、锚板；张拉；压浆；封锚头。</t>
  </si>
  <si>
    <t>乙方负责张拉、压浆工具</t>
  </si>
  <si>
    <t>411-7</t>
  </si>
  <si>
    <t>现浇预应力混凝土上部结构</t>
  </si>
  <si>
    <t>C50现浇预应力混凝土</t>
  </si>
  <si>
    <t>单价包含除混凝土、支架爬梯材料外全部费用</t>
  </si>
  <si>
    <t>平整场地；搭拆工作平台；支架基础处理、支架搭设、预压与拆除；安拆模板、爬梯；混凝土垂直及水平运输（现场转运）、浇筑、养护；施工缝、伸缩缝设置处理。</t>
  </si>
  <si>
    <t>砼甲供，乙方负责钢模板、预制、安装梁片等设备。</t>
  </si>
  <si>
    <t>C40水泥混凝土</t>
  </si>
  <si>
    <t>场地清理；混凝土垂直及水平运输（现场转运）、浇筑、振捣、养护；施工缝、沉降缝设置处理。</t>
  </si>
  <si>
    <t>场地清理；桥面清洁；铺装防水材料；安拆作业平台；安设排水设施。</t>
  </si>
  <si>
    <t>板式橡胶支座(GJZF300*300*65)</t>
  </si>
  <si>
    <t>单价包含除防抛网、钢筋、钢板外的全部费用</t>
  </si>
  <si>
    <t>防抛网所有材料、预埋件工作的制作、运输、装卸、吊装、安装、修改、调整、验收等全部工作内容。</t>
  </si>
  <si>
    <t>C30沉沙池</t>
  </si>
  <si>
    <t>脚手架和模板的安装、拆除、修理、涂脱模剂、堆放；灌注片石混凝土、捣固、养生等全部工作内容。</t>
  </si>
  <si>
    <t>C30渡槽</t>
  </si>
  <si>
    <t>洞口隔离网</t>
  </si>
  <si>
    <t>完成设计要求的全部工作。</t>
  </si>
  <si>
    <t>12</t>
  </si>
  <si>
    <t>箱涵</t>
  </si>
  <si>
    <t>1-10.0×7.0</t>
  </si>
  <si>
    <t>单价包含除钢筋、混凝土、土石方开挖外全部费用</t>
  </si>
  <si>
    <t>依据设计图纸及计价规则，在设计量范围内据实计量，土石方开挖另行计量</t>
  </si>
  <si>
    <t>完成设计图纸及规范要求的全部工作内容。</t>
  </si>
  <si>
    <t>C20基础</t>
  </si>
  <si>
    <t>基坑开挖、夯实、整形，安拆模板(模板由分包方负责），搭拆脚手架，混凝土灌注、震捣、养生等全部工序。</t>
  </si>
  <si>
    <t>C30洞身</t>
  </si>
  <si>
    <t>脚手架和模板的安装、拆除、修理、涂脱模剂、堆放；灌注混凝土、捣固、养生等全部工作内容。</t>
  </si>
  <si>
    <t>C25帽石</t>
  </si>
  <si>
    <t>洞身钢筋</t>
  </si>
  <si>
    <t>钢筋制作、运输、绑扎、焊接、就位安装等全部工序的工作。</t>
  </si>
  <si>
    <t>M7.5浆砌洞口</t>
  </si>
  <si>
    <t>1.场地清理；
2.地基平整夯实；
3.铺设垫层；
4.石料选择；
5.砂浆拌制（含拌合机具、水泥、砂乙供）、运输，砌筑、砂浆饱满、勾缝、安泄水孔、设置变形缝、 养生；
7.回填。</t>
  </si>
  <si>
    <t>M7.5浆砌锥坡基础</t>
  </si>
  <si>
    <t>湿处挖土方</t>
  </si>
  <si>
    <t>湿处挖石方</t>
  </si>
  <si>
    <t>420-1</t>
  </si>
  <si>
    <t>钢筋砼盖板涵</t>
  </si>
  <si>
    <t>1-1.5×1.5</t>
  </si>
  <si>
    <t>C25混凝土铺底</t>
  </si>
  <si>
    <t>C25混凝土基础</t>
  </si>
  <si>
    <t>C25混凝土台身</t>
  </si>
  <si>
    <t>C25混凝土台帽及帽石</t>
  </si>
  <si>
    <t>C30混凝土盖板</t>
  </si>
  <si>
    <t>盖板钢筋</t>
  </si>
  <si>
    <t>C25边沟跌井</t>
  </si>
  <si>
    <t>C25混凝土洞口墙身、墙基</t>
  </si>
  <si>
    <t>台背回填</t>
  </si>
  <si>
    <t>基础换填</t>
  </si>
  <si>
    <t>结构挖土方</t>
  </si>
  <si>
    <t>结构挖石方</t>
  </si>
  <si>
    <t>1-1.5×2.0</t>
  </si>
  <si>
    <t>-b-3</t>
  </si>
  <si>
    <t>-b-4</t>
  </si>
  <si>
    <t>1-1.5×2.5</t>
  </si>
  <si>
    <t>-c-2</t>
  </si>
  <si>
    <t>-c-3</t>
  </si>
  <si>
    <t>-c-4</t>
  </si>
  <si>
    <t>1-2.5×2.5</t>
  </si>
  <si>
    <t>-d-2</t>
  </si>
  <si>
    <t>-d-3</t>
  </si>
  <si>
    <t>-d-4</t>
  </si>
  <si>
    <t>1-3.0×3.0</t>
  </si>
  <si>
    <t>-e-2</t>
  </si>
  <si>
    <t>-e-3</t>
  </si>
  <si>
    <t>-e-4</t>
  </si>
  <si>
    <t>-f-1</t>
  </si>
  <si>
    <t>1-4.0×4.0</t>
  </si>
  <si>
    <t>-f-3</t>
  </si>
  <si>
    <t>-f-4</t>
  </si>
  <si>
    <t>-g-1</t>
  </si>
  <si>
    <t>1-4.0×5.0</t>
  </si>
  <si>
    <t>-g-2</t>
  </si>
  <si>
    <t>-g-3</t>
  </si>
  <si>
    <t>-g-4</t>
  </si>
  <si>
    <t xml:space="preserve">-h </t>
  </si>
  <si>
    <t>1-2.0×2.0(改沟)</t>
  </si>
  <si>
    <t>-h-1</t>
  </si>
  <si>
    <t>基础
换填</t>
  </si>
  <si>
    <t>单价包含除碎石外全部费用</t>
  </si>
  <si>
    <t>-h-2</t>
  </si>
  <si>
    <t>-h-3</t>
  </si>
  <si>
    <t>-h-4</t>
  </si>
  <si>
    <t>合计（不含增值税）</t>
  </si>
  <si>
    <t xml:space="preserve">说明：
（1）除《工程量清单》中注明的以外，各清单项目单价中已包含了乙方为完成各项目需要的劳务、机械、辅助材料及配件、水电气、安装、缺陷修复、利润、环保、文明施工、调遣（进出场）、临时工程的建设与拆除、治安管理等费用，措施费，规费，税金（除增值税外），动力费用（燃油、电力等）；材料、设备二次倒运费用；工料机涨价引起的风险费用；测量复核引起的临时停工费用；建设单位、监理等检查引起的停工费用；各类社会保险及伤害险等保险费用；甲供材料、周转料、机械设备的看护费用；管理费用；第三方配合费或其他在施工中需要乙方配合的费用，以及合同明示或暗示的所有责任、义务和一般风险等；      </t>
  </si>
  <si>
    <t>（2）本清单项中工程内容未明确由甲方负责的工作全部由乙方负责，并且这些工作所涉及的一切费用全部包含在清单单价内；</t>
  </si>
  <si>
    <t>（4）本清单部分辅助工序已计入相应清单综合单价中，不再另列。</t>
  </si>
  <si>
    <t>（5）乙方投标前应进行现场踏勘并充分理解设计文件。本清单所列项目及所标综合单价，视为乙方已进行充分的现场踏勘并完全理解本工程的设计人设计意图清单，未列项目单价已包含在综合单价内，施工过程中不得以现场原因或本次招标设计施工图未明确为理由增项或调整综合单价（因甲方原因需要减少的除外）。</t>
  </si>
  <si>
    <t>（6）本次拟招标项目场内材料最高损耗系数为：钢筋2.5%，碎石2%，砂4%，水泥2%，锚杆1%，土工布2%，土工格栅2%，土工格室2%，片石2%，桩基混凝土（冲击成孔）：普通20%（泵送25%），其他混凝土吊送为：2.0%，（输送泵4%），其他未列材料损耗系数详见公司物资管理办法。</t>
  </si>
  <si>
    <t>（7）因设计图纸需要调整，而清单中没有可参考项目综合单价的，依据甲方相关管理办法单价按照乙方中标下浮比例进行同比例下浮后执行。</t>
  </si>
  <si>
    <t>（8）甲方负责测量和试验检验，乙方负责配合。</t>
  </si>
  <si>
    <t>（9）本清单中除明确由甲方提供的主要材料外，其余一切均由乙方负责。</t>
  </si>
  <si>
    <t>（10）因混凝土标号发生变化，单价不做调整。</t>
  </si>
  <si>
    <t>（11）钢筋连接设备、小型机具、辅助材料由乙方承担。</t>
  </si>
  <si>
    <t>（12）模板、支架（木方顶托以上调型材料）由乙方承担。</t>
  </si>
  <si>
    <t>（13）乙方自行负责施工用电，相关费用已包含在清单单价内。</t>
  </si>
  <si>
    <t>广武路改建工程综合劳务二工区（K8+420.118-K16+918）招标控制价</t>
  </si>
  <si>
    <t>测量放线、基坑开挖、清理、平整、夯实；模板制作、安装、拆除；混凝土垂直及水平运输、浇筑、振捣、养护；泄水孔及其滤水层、沉降缝设置；墙背填料分层填筑；清理，弃方处理。</t>
  </si>
  <si>
    <t>K10+555 会仙大桥(6-20m预应力砼简支小箱梁)</t>
  </si>
  <si>
    <t>现场清理至桩顶标高，安设护筒（乙方自备）及设置钻孔平台；钻机安拆，就位；挖设泥浆池，制备泥浆；钻孔、成孔、成孔检查；安装钢筋笼、声测管（钢筋笼吊装设备自备）；混凝土浇筑（导管等机具自备）；破桩头、桩头清理，协助检测单位完成桩基检测；泥浆清理弃运至指定地点。</t>
  </si>
  <si>
    <t>φ1.6m钻孔灌注桩（机械成孔）</t>
  </si>
  <si>
    <t>若乙方采用人工挖孔，则招标控制单价为800元/米，按照乙方中标下浮比例进行同比例下浮后执行。乙方负责钻机、钢筋笼吊装设备、导管等机具。</t>
  </si>
  <si>
    <t>C30系梁</t>
  </si>
  <si>
    <t>C30墩身</t>
  </si>
  <si>
    <t>模板安装、拆除；保护垫块购买安装；涂脱模剂；模板修整；灌注混凝土、振捣（振捣设备自备）、养生等设计要求的全部工作内容。</t>
  </si>
  <si>
    <t>预制混凝土附属结构</t>
  </si>
  <si>
    <t>C15锥坡</t>
  </si>
  <si>
    <t>场地清理，开挖成型；地基平整夯实，断面补挖；铺设垫层；石料选择（片石解小、二次转运）、整修、清洗；砂浆拌制（含拌合机具、水泥、砂乙供）、运输，砌筑、砂浆饱满、抹面、安泄水孔、设置变形缝、 养生；回填。</t>
  </si>
  <si>
    <t>K11+916俞家河中桥(1-30m预应力砼简支T梁)</t>
  </si>
  <si>
    <t>C25承台、扩大基础</t>
  </si>
  <si>
    <t>.</t>
  </si>
  <si>
    <t>K9+632.0人行天桥兼渡槽</t>
  </si>
  <si>
    <t>钢管</t>
  </si>
  <si>
    <t>C30桥台</t>
  </si>
  <si>
    <t>C40桥墩</t>
  </si>
  <si>
    <t>支架租赁搭设、模板安装（自备钢模）、拆除；保护垫块购买安装；涂脱模剂；模板修整；灌注混凝土、振捣（振捣设备自备）、养生等全部工作内容。</t>
  </si>
  <si>
    <t>C40台帽</t>
  </si>
  <si>
    <t>横隔板</t>
  </si>
  <si>
    <t>C50横隔板</t>
  </si>
  <si>
    <t>预制、养生、运梁、吊梁、架梁、拆除；涂脱模剂；模板修整；灌注混凝土、振捣、养生、预埋梁底钢板等全部工作内容。</t>
  </si>
  <si>
    <t>缘石</t>
  </si>
  <si>
    <t>C30缘石</t>
  </si>
  <si>
    <t>支架租赁搭设、模板安装、拆除；涂脱模剂；模板修整；灌注混凝土、振捣、养生等全部工作内容。</t>
  </si>
  <si>
    <t>人行道板</t>
  </si>
  <si>
    <t>C30人行道板</t>
  </si>
  <si>
    <t>搭拆工作平台；安拆模板；安设预埋件（吊环、预埋连接件）；混凝土垂直及水平运输（现场转运）、浇筑、养护；                                        构件预制、运输、安装。</t>
  </si>
  <si>
    <t>415-5</t>
  </si>
  <si>
    <t>水泥砂浆抹面</t>
  </si>
  <si>
    <t>砼浇筑、振捣、平整、养生、及所需的施工小型机具、材料等全部工作内容。</t>
  </si>
  <si>
    <t>dm3</t>
  </si>
  <si>
    <t>432</t>
  </si>
  <si>
    <t>M10沉沙池</t>
  </si>
  <si>
    <t>单价包含材料外全部费用</t>
  </si>
  <si>
    <t>片石解小、二次转运、石料选择、砌筑、砂浆饱满、整修、清洗，砂浆拌和（含拌合机具）、勾缝、运输，砌筑、含泄水槽、挡水线施工等设计要求的全部工作。</t>
  </si>
  <si>
    <t>M10砖砌人行梯步</t>
  </si>
  <si>
    <t>二次转运、石料选择、砌筑、砂浆饱满、整修、清洗，砂浆拌和（含拌合机具）、抹面、运输，砌筑、含泄水槽、挡水线施工等设计要求的全部工作。</t>
  </si>
  <si>
    <t>438</t>
  </si>
  <si>
    <t>引水管</t>
  </si>
  <si>
    <t>完成设计图纸要求的全部工作内容。</t>
  </si>
  <si>
    <t>439</t>
  </si>
  <si>
    <t>C30排水沟</t>
  </si>
  <si>
    <t>按设计断面尺寸及实际量测长度计算的体积计量</t>
  </si>
  <si>
    <t>沟槽开挖、清底，模板及制安拆、混凝土浇筑、养护安装泄水孔等全部工作内容。</t>
  </si>
  <si>
    <t>440</t>
  </si>
  <si>
    <t>M10明渠（改沟）</t>
  </si>
  <si>
    <t>依据图纸所示位置及断面尺寸，按浆砌片石的体积以立方米为单位计量</t>
  </si>
  <si>
    <t>K16+133 万水河大桥（左幅新建桥）(6-30m预应力砼简支T梁)</t>
  </si>
  <si>
    <t>甲方负责对该桥梁施工临时用电接至一级配电箱，其余全部由乙方负责（含电费）。</t>
  </si>
  <si>
    <t>带肋钢筋</t>
  </si>
  <si>
    <t>φ1.8m钻孔灌注桩（机械成孔）</t>
  </si>
  <si>
    <t>水中钻孔灌注桩</t>
  </si>
  <si>
    <t>φ2.0m钻孔灌注桩（机械成孔）</t>
  </si>
  <si>
    <t>现场清理.搭设水中钻孔平台、筑岛或围堰、横向便道;钻机安拆，就位；钻孔、成孔、成孔检查；安装钢筋笼、声测管；混凝土浇筑；破桩头、桩头清理，协助检测单位完成桩基检测。</t>
  </si>
  <si>
    <t>耳背墙混凝土</t>
  </si>
  <si>
    <t>C30耳背墙</t>
  </si>
  <si>
    <t>涵洞</t>
  </si>
  <si>
    <t>420-3</t>
  </si>
  <si>
    <t>2-2.5×2.5</t>
  </si>
  <si>
    <t xml:space="preserve">1-4.0×3.0通道涵 </t>
  </si>
  <si>
    <t>（2）凡未明确由甲方负责的工作全部由乙方负责，并且这些工作所涉及的一切费用全部包含在清单单价内；</t>
  </si>
  <si>
    <t>（10）因混凝土砼标号发生变化，单价不做调整。</t>
  </si>
  <si>
    <t>（11）钢筋连接设备、小型机具、辅助材料（垫块等）由乙方承担。</t>
  </si>
  <si>
    <t>（13）除万水河大桥由甲方提供一级配电外，其余施工用电均由乙方自行负责，相关费用已包含在清单单价内。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</si>
</sst>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_ "/>
    <numFmt numFmtId="179" formatCode="0.00_ "/>
    <numFmt numFmtId="180" formatCode="0.0_);[Red]\(0.0\)"/>
    <numFmt numFmtId="181" formatCode="0.0"/>
    <numFmt numFmtId="182" formatCode="0.00000_);[Red]\(0.00000\)"/>
    <numFmt numFmtId="183" formatCode="0.000000_);[Red]\(0.000000\)"/>
  </numFmts>
  <fonts count="64">
    <font>
      <sz val="10"/>
      <name val="Arial"/>
      <charset val="134"/>
    </font>
    <font>
      <sz val="10"/>
      <name val="宋体"/>
      <charset val="134"/>
    </font>
    <font>
      <sz val="18"/>
      <name val="Arial"/>
      <charset val="134"/>
    </font>
    <font>
      <b/>
      <sz val="18"/>
      <name val="宋体"/>
      <charset val="134"/>
    </font>
    <font>
      <sz val="10"/>
      <color indexed="8"/>
      <name val="宋体"/>
      <charset val="134"/>
    </font>
    <font>
      <sz val="10"/>
      <color indexed="10"/>
      <name val="宋体"/>
      <charset val="134"/>
    </font>
    <font>
      <sz val="18"/>
      <name val="宋体"/>
      <charset val="134"/>
    </font>
    <font>
      <sz val="18"/>
      <color theme="1"/>
      <name val="宋体"/>
      <charset val="134"/>
    </font>
    <font>
      <sz val="18"/>
      <name val="宋体"/>
      <charset val="134"/>
      <scheme val="minor"/>
    </font>
    <font>
      <sz val="18"/>
      <color indexed="8"/>
      <name val="宋体"/>
      <charset val="134"/>
    </font>
    <font>
      <sz val="18"/>
      <color rgb="FFFF0000"/>
      <name val="宋体"/>
      <charset val="134"/>
      <scheme val="minor"/>
    </font>
    <font>
      <sz val="18"/>
      <color rgb="FFFF0000"/>
      <name val="宋体"/>
      <charset val="134"/>
    </font>
    <font>
      <sz val="18"/>
      <color indexed="8"/>
      <name val="宋体"/>
      <charset val="134"/>
      <scheme val="minor"/>
    </font>
    <font>
      <b/>
      <sz val="18"/>
      <color theme="1"/>
      <name val="宋体"/>
      <charset val="134"/>
      <scheme val="minor"/>
    </font>
    <font>
      <sz val="18"/>
      <color theme="1"/>
      <name val="宋体"/>
      <charset val="134"/>
      <scheme val="minor"/>
    </font>
    <font>
      <b/>
      <sz val="18"/>
      <color indexed="8"/>
      <name val="宋体"/>
      <charset val="134"/>
      <scheme val="minor"/>
    </font>
    <font>
      <b/>
      <sz val="18"/>
      <name val="宋体"/>
      <charset val="134"/>
      <scheme val="minor"/>
    </font>
    <font>
      <sz val="10"/>
      <name val="宋体"/>
      <charset val="134"/>
      <scheme val="minor"/>
    </font>
    <font>
      <b/>
      <sz val="18"/>
      <name val="Arial"/>
      <charset val="134"/>
    </font>
    <font>
      <sz val="20"/>
      <name val="宋体"/>
      <charset val="134"/>
      <scheme val="minor"/>
    </font>
    <font>
      <sz val="20"/>
      <color theme="1"/>
      <name val="宋体"/>
      <charset val="134"/>
      <scheme val="minor"/>
    </font>
    <font>
      <b/>
      <sz val="26"/>
      <name val="宋体"/>
      <charset val="134"/>
    </font>
    <font>
      <sz val="20"/>
      <color theme="0"/>
      <name val="宋体"/>
      <charset val="134"/>
      <scheme val="minor"/>
    </font>
    <font>
      <sz val="16"/>
      <name val="Arial"/>
      <charset val="134"/>
    </font>
    <font>
      <sz val="20"/>
      <name val="Arial"/>
      <charset val="134"/>
    </font>
    <font>
      <sz val="20"/>
      <name val="宋体"/>
      <charset val="134"/>
    </font>
    <font>
      <sz val="12"/>
      <color theme="1"/>
      <name val="宋体"/>
      <charset val="134"/>
      <scheme val="minor"/>
    </font>
    <font>
      <sz val="10"/>
      <color theme="1"/>
      <name val="宋体"/>
      <charset val="134"/>
      <scheme val="minor"/>
    </font>
    <font>
      <b/>
      <sz val="11"/>
      <name val="宋体"/>
      <charset val="134"/>
    </font>
    <font>
      <b/>
      <sz val="16"/>
      <name val="宋体"/>
      <charset val="134"/>
    </font>
    <font>
      <sz val="11"/>
      <color theme="1"/>
      <name val="宋体"/>
      <charset val="134"/>
      <scheme val="minor"/>
    </font>
    <font>
      <sz val="11"/>
      <color rgb="FFFF0000"/>
      <name val="宋体"/>
      <charset val="134"/>
      <scheme val="minor"/>
    </font>
    <font>
      <sz val="11"/>
      <name val="宋体"/>
      <charset val="134"/>
    </font>
    <font>
      <sz val="10"/>
      <color indexed="8"/>
      <name val="SansSerif"/>
      <charset val="2"/>
    </font>
    <font>
      <b/>
      <sz val="18"/>
      <color indexed="8"/>
      <name val="宋体"/>
      <charset val="134"/>
    </font>
    <font>
      <sz val="11"/>
      <color indexed="8"/>
      <name val="宋体"/>
      <charset val="134"/>
    </font>
    <font>
      <b/>
      <sz val="22"/>
      <name val="宋体"/>
      <charset val="134"/>
    </font>
    <font>
      <sz val="14"/>
      <name val="宋体"/>
      <charset val="134"/>
    </font>
    <font>
      <sz val="14"/>
      <color indexed="8"/>
      <name val="宋体"/>
      <charset val="134"/>
    </font>
    <font>
      <sz val="15"/>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宋体"/>
      <charset val="134"/>
    </font>
    <font>
      <sz val="9"/>
      <name val="宋体"/>
      <charset val="134"/>
    </font>
    <font>
      <b/>
      <sz val="9"/>
      <name val="宋体"/>
      <charset val="134"/>
    </font>
    <font>
      <sz val="9"/>
      <name val="宋体"/>
      <charset val="134"/>
    </font>
  </fonts>
  <fills count="3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0" fillId="6" borderId="13"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4" applyNumberFormat="0" applyFill="0" applyAlignment="0" applyProtection="0">
      <alignment vertical="center"/>
    </xf>
    <xf numFmtId="0" fontId="46" fillId="0" borderId="14" applyNumberFormat="0" applyFill="0" applyAlignment="0" applyProtection="0">
      <alignment vertical="center"/>
    </xf>
    <xf numFmtId="0" fontId="47" fillId="0" borderId="15" applyNumberFormat="0" applyFill="0" applyAlignment="0" applyProtection="0">
      <alignment vertical="center"/>
    </xf>
    <xf numFmtId="0" fontId="47" fillId="0" borderId="0" applyNumberFormat="0" applyFill="0" applyBorder="0" applyAlignment="0" applyProtection="0">
      <alignment vertical="center"/>
    </xf>
    <xf numFmtId="0" fontId="48" fillId="7" borderId="16" applyNumberFormat="0" applyAlignment="0" applyProtection="0">
      <alignment vertical="center"/>
    </xf>
    <xf numFmtId="0" fontId="49" fillId="8" borderId="17" applyNumberFormat="0" applyAlignment="0" applyProtection="0">
      <alignment vertical="center"/>
    </xf>
    <xf numFmtId="0" fontId="50" fillId="8" borderId="16" applyNumberFormat="0" applyAlignment="0" applyProtection="0">
      <alignment vertical="center"/>
    </xf>
    <xf numFmtId="0" fontId="51" fillId="9" borderId="18" applyNumberFormat="0" applyAlignment="0" applyProtection="0">
      <alignment vertical="center"/>
    </xf>
    <xf numFmtId="0" fontId="52" fillId="0" borderId="19" applyNumberFormat="0" applyFill="0" applyAlignment="0" applyProtection="0">
      <alignment vertical="center"/>
    </xf>
    <xf numFmtId="0" fontId="53" fillId="0" borderId="20" applyNumberFormat="0" applyFill="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6" fillId="12" borderId="0" applyNumberFormat="0" applyBorder="0" applyAlignment="0" applyProtection="0">
      <alignment vertical="center"/>
    </xf>
    <xf numFmtId="0" fontId="57"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8" fillId="34" borderId="0" applyNumberFormat="0" applyBorder="0" applyAlignment="0" applyProtection="0">
      <alignment vertical="center"/>
    </xf>
    <xf numFmtId="0" fontId="58" fillId="35" borderId="0" applyNumberFormat="0" applyBorder="0" applyAlignment="0" applyProtection="0">
      <alignment vertical="center"/>
    </xf>
    <xf numFmtId="0" fontId="57" fillId="36"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0" fillId="0" borderId="0"/>
    <xf numFmtId="0" fontId="59" fillId="0" borderId="0">
      <alignment vertical="center"/>
    </xf>
    <xf numFmtId="0" fontId="30" fillId="0" borderId="0">
      <alignment vertical="center"/>
    </xf>
    <xf numFmtId="0" fontId="59" fillId="0" borderId="0">
      <alignment vertical="center"/>
    </xf>
    <xf numFmtId="0" fontId="59" fillId="0" borderId="0">
      <alignment vertical="center"/>
    </xf>
    <xf numFmtId="0" fontId="60" fillId="0" borderId="0"/>
    <xf numFmtId="0" fontId="35" fillId="0" borderId="0">
      <alignment vertical="center"/>
    </xf>
    <xf numFmtId="0" fontId="59"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61" fillId="0" borderId="0">
      <alignment vertical="center"/>
    </xf>
    <xf numFmtId="0" fontId="59" fillId="0" borderId="0"/>
  </cellStyleXfs>
  <cellXfs count="318">
    <xf numFmtId="0" fontId="0" fillId="0" borderId="0" xfId="0"/>
    <xf numFmtId="0" fontId="1" fillId="0" borderId="0" xfId="52" applyFont="1" applyAlignment="1">
      <alignment horizontal="left" vertical="center" wrapText="1"/>
    </xf>
    <xf numFmtId="0" fontId="0" fillId="0" borderId="0" xfId="52" applyAlignment="1">
      <alignment horizontal="center" vertical="center"/>
    </xf>
    <xf numFmtId="0" fontId="2" fillId="0" borderId="0" xfId="52" applyFont="1" applyAlignment="1">
      <alignment vertical="center"/>
    </xf>
    <xf numFmtId="0" fontId="2" fillId="0" borderId="0" xfId="52" applyFont="1" applyAlignment="1">
      <alignment vertical="center" wrapText="1"/>
    </xf>
    <xf numFmtId="0" fontId="0" fillId="0" borderId="0" xfId="52" applyAlignment="1">
      <alignment vertical="center"/>
    </xf>
    <xf numFmtId="0" fontId="3" fillId="0" borderId="0" xfId="52" applyFont="1" applyAlignment="1">
      <alignment horizontal="center" vertical="center" wrapText="1"/>
    </xf>
    <xf numFmtId="0" fontId="4" fillId="0" borderId="0" xfId="52" applyFont="1" applyAlignment="1">
      <alignment vertical="center"/>
    </xf>
    <xf numFmtId="0" fontId="5" fillId="0" borderId="0" xfId="52" applyFont="1" applyAlignment="1">
      <alignment horizontal="center" vertical="center" wrapText="1"/>
    </xf>
    <xf numFmtId="49" fontId="6" fillId="0" borderId="1" xfId="52" applyNumberFormat="1" applyFont="1" applyBorder="1" applyAlignment="1">
      <alignment horizontal="center" vertical="center" wrapText="1"/>
    </xf>
    <xf numFmtId="0" fontId="6" fillId="0" borderId="1" xfId="52" applyFont="1" applyBorder="1" applyAlignment="1">
      <alignment horizontal="center" vertical="center" wrapText="1"/>
    </xf>
    <xf numFmtId="176" fontId="6" fillId="0" borderId="2" xfId="52" applyNumberFormat="1" applyFont="1" applyBorder="1" applyAlignment="1">
      <alignment horizontal="center" vertical="center" wrapText="1"/>
    </xf>
    <xf numFmtId="176" fontId="6" fillId="0" borderId="3" xfId="52" applyNumberFormat="1" applyFont="1" applyBorder="1" applyAlignment="1">
      <alignment vertical="center" wrapText="1"/>
    </xf>
    <xf numFmtId="177" fontId="6" fillId="0" borderId="4" xfId="52" applyNumberFormat="1" applyFont="1" applyBorder="1" applyAlignment="1">
      <alignment horizontal="center" vertical="center" wrapText="1"/>
    </xf>
    <xf numFmtId="0" fontId="7" fillId="2" borderId="5" xfId="54" applyFont="1" applyFill="1" applyBorder="1" applyAlignment="1">
      <alignment horizontal="center" vertical="center" wrapText="1"/>
    </xf>
    <xf numFmtId="178" fontId="7" fillId="2" borderId="5" xfId="54" applyNumberFormat="1" applyFont="1" applyFill="1" applyBorder="1" applyAlignment="1">
      <alignment horizontal="center" vertical="center" wrapText="1"/>
    </xf>
    <xf numFmtId="49" fontId="6" fillId="0" borderId="6" xfId="52" applyNumberFormat="1" applyFont="1" applyBorder="1" applyAlignment="1">
      <alignment horizontal="center" vertical="center" wrapText="1"/>
    </xf>
    <xf numFmtId="0" fontId="6" fillId="0" borderId="6" xfId="52" applyFont="1" applyBorder="1" applyAlignment="1">
      <alignment horizontal="center" vertical="center" wrapText="1"/>
    </xf>
    <xf numFmtId="176" fontId="6" fillId="0" borderId="7" xfId="52" applyNumberFormat="1" applyFont="1" applyBorder="1" applyAlignment="1">
      <alignment horizontal="center" vertical="center" wrapText="1"/>
    </xf>
    <xf numFmtId="176" fontId="6" fillId="0" borderId="1" xfId="52" applyNumberFormat="1" applyFont="1" applyBorder="1" applyAlignment="1">
      <alignment horizontal="center" vertical="center" wrapText="1"/>
    </xf>
    <xf numFmtId="177" fontId="6" fillId="0" borderId="0" xfId="52" applyNumberFormat="1" applyFont="1" applyAlignment="1">
      <alignment horizontal="center" vertical="center" wrapText="1"/>
    </xf>
    <xf numFmtId="177" fontId="6" fillId="0" borderId="1" xfId="52" applyNumberFormat="1" applyFont="1" applyBorder="1" applyAlignment="1">
      <alignment horizontal="center" vertical="center" wrapText="1"/>
    </xf>
    <xf numFmtId="49" fontId="6" fillId="0" borderId="8" xfId="52" applyNumberFormat="1" applyFont="1" applyBorder="1" applyAlignment="1">
      <alignment horizontal="center" vertical="center" wrapText="1"/>
    </xf>
    <xf numFmtId="0" fontId="6" fillId="0" borderId="8" xfId="52" applyFont="1" applyBorder="1" applyAlignment="1">
      <alignment horizontal="center" vertical="center" wrapText="1"/>
    </xf>
    <xf numFmtId="176" fontId="6" fillId="0" borderId="9" xfId="52" applyNumberFormat="1" applyFont="1" applyBorder="1" applyAlignment="1">
      <alignment horizontal="center" vertical="center" wrapText="1"/>
    </xf>
    <xf numFmtId="176" fontId="6" fillId="0" borderId="8" xfId="52" applyNumberFormat="1" applyFont="1" applyBorder="1" applyAlignment="1">
      <alignment horizontal="center" vertical="center" wrapText="1"/>
    </xf>
    <xf numFmtId="177" fontId="6" fillId="0" borderId="10" xfId="52" applyNumberFormat="1" applyFont="1" applyBorder="1" applyAlignment="1">
      <alignment horizontal="center" vertical="center" wrapText="1"/>
    </xf>
    <xf numFmtId="177" fontId="6" fillId="0" borderId="8" xfId="52" applyNumberFormat="1" applyFont="1" applyBorder="1" applyAlignment="1">
      <alignment horizontal="center" vertical="center" wrapText="1"/>
    </xf>
    <xf numFmtId="49" fontId="6" fillId="0" borderId="11" xfId="52" applyNumberFormat="1" applyFont="1" applyBorder="1" applyAlignment="1">
      <alignment horizontal="center" vertical="center" wrapText="1"/>
    </xf>
    <xf numFmtId="49" fontId="6" fillId="0" borderId="12" xfId="52" applyNumberFormat="1" applyFont="1" applyBorder="1" applyAlignment="1">
      <alignment horizontal="center" vertical="center" wrapText="1"/>
    </xf>
    <xf numFmtId="49" fontId="6" fillId="0" borderId="5" xfId="52" applyNumberFormat="1" applyFont="1" applyBorder="1" applyAlignment="1">
      <alignment horizontal="center" vertical="center" wrapText="1"/>
    </xf>
    <xf numFmtId="176" fontId="6" fillId="0" borderId="5" xfId="52" applyNumberFormat="1" applyFont="1" applyBorder="1" applyAlignment="1">
      <alignment horizontal="center" vertical="center" wrapText="1"/>
    </xf>
    <xf numFmtId="177" fontId="6" fillId="0" borderId="5" xfId="52"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5" xfId="0" applyNumberFormat="1" applyFont="1" applyBorder="1" applyAlignment="1">
      <alignment horizontal="left" vertical="center" wrapText="1"/>
    </xf>
    <xf numFmtId="0" fontId="6" fillId="0" borderId="5" xfId="52" applyFont="1" applyBorder="1" applyAlignment="1">
      <alignment horizontal="center" vertical="center" wrapText="1"/>
    </xf>
    <xf numFmtId="177" fontId="8" fillId="0" borderId="5" xfId="52" applyNumberFormat="1" applyFont="1" applyBorder="1" applyAlignment="1">
      <alignment vertical="center"/>
    </xf>
    <xf numFmtId="0" fontId="9" fillId="0" borderId="5" xfId="3" applyNumberFormat="1" applyFont="1" applyFill="1" applyBorder="1" applyAlignment="1">
      <alignment horizontal="center" vertical="center" wrapText="1"/>
    </xf>
    <xf numFmtId="0" fontId="10" fillId="0" borderId="5" xfId="52" applyFont="1" applyBorder="1" applyAlignment="1">
      <alignment vertical="center" wrapText="1"/>
    </xf>
    <xf numFmtId="0" fontId="11" fillId="0" borderId="5" xfId="52" applyFont="1" applyBorder="1" applyAlignment="1">
      <alignment horizontal="center" vertical="center" wrapText="1"/>
    </xf>
    <xf numFmtId="0" fontId="11" fillId="0" borderId="5" xfId="52" applyFont="1" applyBorder="1" applyAlignment="1">
      <alignment horizontal="left" vertical="center" wrapText="1"/>
    </xf>
    <xf numFmtId="0" fontId="12" fillId="0" borderId="5" xfId="52" applyFont="1" applyBorder="1" applyAlignment="1">
      <alignment horizontal="center" vertical="center" wrapText="1"/>
    </xf>
    <xf numFmtId="0" fontId="12" fillId="0" borderId="5" xfId="52" applyFont="1" applyBorder="1" applyAlignment="1">
      <alignment vertical="center" wrapText="1"/>
    </xf>
    <xf numFmtId="0" fontId="8" fillId="0" borderId="5" xfId="52" applyFont="1" applyBorder="1" applyAlignment="1">
      <alignment vertical="center"/>
    </xf>
    <xf numFmtId="179" fontId="8" fillId="0" borderId="5" xfId="52" applyNumberFormat="1" applyFont="1" applyBorder="1" applyAlignment="1">
      <alignment horizontal="center" vertical="center"/>
    </xf>
    <xf numFmtId="0" fontId="8" fillId="0" borderId="5" xfId="3" applyNumberFormat="1" applyFont="1" applyFill="1" applyBorder="1" applyAlignment="1">
      <alignment vertical="center"/>
    </xf>
    <xf numFmtId="0" fontId="8" fillId="0" borderId="5" xfId="52" applyFont="1" applyBorder="1" applyAlignment="1">
      <alignment vertical="center" wrapText="1"/>
    </xf>
    <xf numFmtId="176" fontId="8" fillId="0" borderId="5" xfId="52" applyNumberFormat="1" applyFont="1" applyBorder="1" applyAlignment="1">
      <alignment horizontal="center" vertical="center"/>
    </xf>
    <xf numFmtId="177" fontId="8" fillId="3" borderId="5" xfId="52" applyNumberFormat="1" applyFont="1" applyFill="1" applyBorder="1" applyAlignment="1">
      <alignment vertical="center"/>
    </xf>
    <xf numFmtId="0" fontId="8" fillId="3" borderId="5" xfId="52" applyFont="1" applyFill="1" applyBorder="1" applyAlignment="1">
      <alignment vertical="center" wrapText="1"/>
    </xf>
    <xf numFmtId="49" fontId="13" fillId="0" borderId="5" xfId="52" applyNumberFormat="1" applyFont="1" applyBorder="1" applyAlignment="1">
      <alignment horizontal="center" vertical="center" wrapText="1"/>
    </xf>
    <xf numFmtId="0" fontId="13" fillId="0" borderId="5" xfId="52" applyFont="1" applyBorder="1" applyAlignment="1">
      <alignment vertical="center" wrapText="1"/>
    </xf>
    <xf numFmtId="0" fontId="8" fillId="0" borderId="5" xfId="52" applyFont="1" applyBorder="1" applyAlignment="1">
      <alignment horizontal="center" vertical="center"/>
    </xf>
    <xf numFmtId="177" fontId="13" fillId="0" borderId="5" xfId="52" applyNumberFormat="1" applyFont="1" applyBorder="1" applyAlignment="1">
      <alignment horizontal="center" vertical="center" wrapText="1"/>
    </xf>
    <xf numFmtId="0" fontId="8" fillId="0" borderId="5" xfId="52" applyFont="1" applyBorder="1" applyAlignment="1">
      <alignment horizontal="center" vertical="center" wrapText="1"/>
    </xf>
    <xf numFmtId="0" fontId="14" fillId="0" borderId="5" xfId="52" applyFont="1" applyBorder="1" applyAlignment="1">
      <alignment horizontal="center" vertical="center" wrapText="1"/>
    </xf>
    <xf numFmtId="0" fontId="14" fillId="0" borderId="5" xfId="52" applyFont="1" applyBorder="1" applyAlignment="1">
      <alignment horizontal="left" vertical="center" wrapText="1"/>
    </xf>
    <xf numFmtId="177" fontId="14" fillId="0" borderId="5" xfId="52" applyNumberFormat="1" applyFont="1" applyBorder="1" applyAlignment="1">
      <alignment horizontal="center" vertical="center" wrapText="1"/>
    </xf>
    <xf numFmtId="0" fontId="14" fillId="0" borderId="5" xfId="52" applyFont="1" applyBorder="1" applyAlignment="1">
      <alignment vertical="center" wrapText="1"/>
    </xf>
    <xf numFmtId="0" fontId="14" fillId="3" borderId="5" xfId="52" applyFont="1" applyFill="1" applyBorder="1" applyAlignment="1">
      <alignment vertical="center" wrapText="1"/>
    </xf>
    <xf numFmtId="0" fontId="14" fillId="0" borderId="5" xfId="0" applyFont="1" applyBorder="1" applyAlignment="1">
      <alignment vertical="center" wrapText="1"/>
    </xf>
    <xf numFmtId="0" fontId="8" fillId="0" borderId="5" xfId="52" applyFont="1" applyBorder="1" applyAlignment="1">
      <alignment wrapText="1"/>
    </xf>
    <xf numFmtId="0" fontId="14" fillId="3" borderId="5" xfId="52" applyFont="1" applyFill="1" applyBorder="1" applyAlignment="1">
      <alignment horizontal="left" vertical="center" wrapText="1"/>
    </xf>
    <xf numFmtId="0" fontId="8" fillId="3" borderId="5" xfId="3" applyNumberFormat="1" applyFont="1" applyFill="1" applyBorder="1" applyAlignment="1">
      <alignment vertical="center"/>
    </xf>
    <xf numFmtId="0" fontId="14" fillId="0" borderId="5" xfId="58" applyFont="1" applyBorder="1" applyAlignment="1">
      <alignment vertical="center" wrapText="1"/>
    </xf>
    <xf numFmtId="0" fontId="13" fillId="0" borderId="5" xfId="52" applyFont="1" applyBorder="1" applyAlignment="1">
      <alignment horizontal="left" vertical="center" wrapText="1"/>
    </xf>
    <xf numFmtId="0" fontId="13" fillId="0" borderId="5" xfId="52" applyFont="1" applyBorder="1" applyAlignment="1">
      <alignment horizontal="center" vertical="center" wrapText="1"/>
    </xf>
    <xf numFmtId="49" fontId="14" fillId="0" borderId="5" xfId="52" applyNumberFormat="1" applyFont="1" applyBorder="1" applyAlignment="1">
      <alignment horizontal="center" vertical="center" wrapText="1"/>
    </xf>
    <xf numFmtId="0" fontId="15" fillId="0" borderId="5" xfId="52" applyFont="1" applyBorder="1" applyAlignment="1">
      <alignment horizontal="center" vertical="center" wrapText="1"/>
    </xf>
    <xf numFmtId="0" fontId="15" fillId="0" borderId="5" xfId="52" applyFont="1" applyBorder="1" applyAlignment="1">
      <alignment horizontal="left" vertical="center" wrapText="1"/>
    </xf>
    <xf numFmtId="180" fontId="15" fillId="0" borderId="5" xfId="52" applyNumberFormat="1" applyFont="1" applyBorder="1" applyAlignment="1">
      <alignment horizontal="center" vertical="center" wrapText="1"/>
    </xf>
    <xf numFmtId="0" fontId="14" fillId="0" borderId="5" xfId="67" applyFont="1" applyBorder="1" applyAlignment="1" applyProtection="1">
      <alignment vertical="center" wrapText="1"/>
      <protection locked="0"/>
    </xf>
    <xf numFmtId="49" fontId="12" fillId="0" borderId="5" xfId="52" applyNumberFormat="1" applyFont="1" applyBorder="1" applyAlignment="1">
      <alignment horizontal="center" vertical="center" wrapText="1"/>
    </xf>
    <xf numFmtId="0" fontId="12" fillId="0" borderId="5" xfId="52" applyFont="1" applyBorder="1" applyAlignment="1">
      <alignment horizontal="left" vertical="center" wrapText="1"/>
    </xf>
    <xf numFmtId="49" fontId="12" fillId="0" borderId="5" xfId="0" applyNumberFormat="1" applyFont="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Border="1" applyAlignment="1">
      <alignment horizontal="center" vertical="center" wrapText="1"/>
    </xf>
    <xf numFmtId="49" fontId="12" fillId="3" borderId="5" xfId="0" applyNumberFormat="1" applyFont="1" applyFill="1" applyBorder="1" applyAlignment="1">
      <alignment horizontal="center" vertical="center" wrapText="1"/>
    </xf>
    <xf numFmtId="0" fontId="12" fillId="3" borderId="5"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8" fillId="3" borderId="5" xfId="52" applyFont="1" applyFill="1" applyBorder="1" applyAlignment="1">
      <alignment horizontal="center" vertical="center"/>
    </xf>
    <xf numFmtId="0" fontId="12" fillId="0" borderId="5" xfId="50" applyFont="1" applyBorder="1" applyAlignment="1">
      <alignment horizontal="center" vertical="center" wrapText="1"/>
    </xf>
    <xf numFmtId="0" fontId="6" fillId="3" borderId="5" xfId="52" applyFont="1" applyFill="1" applyBorder="1" applyAlignment="1">
      <alignment horizontal="center" vertical="center" wrapText="1"/>
    </xf>
    <xf numFmtId="0" fontId="14" fillId="3" borderId="5" xfId="0" applyFont="1" applyFill="1" applyBorder="1" applyAlignment="1">
      <alignment vertical="center" wrapText="1"/>
    </xf>
    <xf numFmtId="0" fontId="6" fillId="3" borderId="5" xfId="52" applyFont="1" applyFill="1" applyBorder="1" applyAlignment="1">
      <alignment vertical="center" wrapText="1"/>
    </xf>
    <xf numFmtId="0" fontId="14" fillId="0" borderId="11" xfId="52" applyFont="1" applyBorder="1" applyAlignment="1">
      <alignment horizontal="center" vertical="center" wrapText="1"/>
    </xf>
    <xf numFmtId="0" fontId="14" fillId="0" borderId="12" xfId="52" applyFont="1" applyBorder="1" applyAlignment="1">
      <alignment horizontal="center" vertical="center" wrapText="1"/>
    </xf>
    <xf numFmtId="0" fontId="12" fillId="3" borderId="5" xfId="52" applyFont="1" applyFill="1" applyBorder="1" applyAlignment="1">
      <alignment vertical="center" wrapText="1"/>
    </xf>
    <xf numFmtId="176" fontId="8" fillId="0" borderId="5" xfId="52" applyNumberFormat="1" applyFont="1" applyBorder="1" applyAlignment="1">
      <alignment vertical="center"/>
    </xf>
    <xf numFmtId="49" fontId="14" fillId="3" borderId="5" xfId="52" applyNumberFormat="1" applyFont="1" applyFill="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181" fontId="8" fillId="0" borderId="5" xfId="52" applyNumberFormat="1" applyFont="1" applyBorder="1" applyAlignment="1">
      <alignment vertical="center"/>
    </xf>
    <xf numFmtId="179" fontId="14" fillId="0" borderId="5" xfId="61" applyNumberFormat="1" applyFont="1" applyBorder="1">
      <alignment vertical="center"/>
    </xf>
    <xf numFmtId="179" fontId="8" fillId="0" borderId="5" xfId="52" applyNumberFormat="1" applyFont="1" applyBorder="1" applyAlignment="1">
      <alignment vertical="center"/>
    </xf>
    <xf numFmtId="49" fontId="12" fillId="3" borderId="11" xfId="52" applyNumberFormat="1" applyFont="1" applyFill="1" applyBorder="1" applyAlignment="1">
      <alignment horizontal="center" vertical="center" wrapText="1"/>
    </xf>
    <xf numFmtId="0" fontId="12" fillId="3" borderId="5" xfId="52" applyFont="1" applyFill="1" applyBorder="1" applyAlignment="1">
      <alignment horizontal="center" vertical="center" wrapText="1"/>
    </xf>
    <xf numFmtId="179" fontId="14" fillId="3" borderId="5" xfId="61" applyNumberFormat="1" applyFont="1" applyFill="1" applyBorder="1">
      <alignment vertical="center"/>
    </xf>
    <xf numFmtId="0" fontId="8" fillId="3" borderId="5" xfId="52" applyFont="1" applyFill="1" applyBorder="1" applyAlignment="1">
      <alignment vertical="center"/>
    </xf>
    <xf numFmtId="176" fontId="8" fillId="3" borderId="5" xfId="52" applyNumberFormat="1" applyFont="1" applyFill="1" applyBorder="1" applyAlignment="1">
      <alignment vertical="center"/>
    </xf>
    <xf numFmtId="178" fontId="8" fillId="3" borderId="5" xfId="52" applyNumberFormat="1" applyFont="1" applyFill="1" applyBorder="1" applyAlignment="1">
      <alignment vertical="center"/>
    </xf>
    <xf numFmtId="179" fontId="8" fillId="3" borderId="5" xfId="52" applyNumberFormat="1" applyFont="1" applyFill="1" applyBorder="1" applyAlignment="1">
      <alignment vertical="center"/>
    </xf>
    <xf numFmtId="49" fontId="12" fillId="3" borderId="5" xfId="52" applyNumberFormat="1" applyFont="1" applyFill="1" applyBorder="1" applyAlignment="1">
      <alignment horizontal="center" vertical="center" wrapText="1"/>
    </xf>
    <xf numFmtId="0" fontId="3" fillId="0" borderId="11" xfId="52" applyFont="1" applyBorder="1" applyAlignment="1">
      <alignment horizontal="center" vertical="center"/>
    </xf>
    <xf numFmtId="0" fontId="3" fillId="0" borderId="3" xfId="52" applyFont="1" applyBorder="1" applyAlignment="1">
      <alignment horizontal="center" vertical="center"/>
    </xf>
    <xf numFmtId="0" fontId="3" fillId="0" borderId="12" xfId="52" applyFont="1" applyBorder="1" applyAlignment="1">
      <alignment horizontal="center" vertical="center"/>
    </xf>
    <xf numFmtId="0" fontId="2" fillId="0" borderId="5" xfId="52" applyFont="1" applyBorder="1" applyAlignment="1">
      <alignment vertical="center"/>
    </xf>
    <xf numFmtId="176" fontId="16" fillId="0" borderId="5" xfId="52" applyNumberFormat="1" applyFont="1" applyBorder="1" applyAlignment="1">
      <alignment vertical="center"/>
    </xf>
    <xf numFmtId="177" fontId="2" fillId="0" borderId="5" xfId="52" applyNumberFormat="1" applyFont="1" applyBorder="1" applyAlignment="1">
      <alignment vertical="center"/>
    </xf>
    <xf numFmtId="176" fontId="16" fillId="0" borderId="5" xfId="52" applyNumberFormat="1" applyFont="1" applyBorder="1" applyAlignment="1">
      <alignment horizontal="center" vertical="center"/>
    </xf>
    <xf numFmtId="0" fontId="2" fillId="0" borderId="5" xfId="52" applyFont="1" applyBorder="1" applyAlignment="1">
      <alignment vertical="center" wrapText="1"/>
    </xf>
    <xf numFmtId="0" fontId="8" fillId="0" borderId="4" xfId="0" applyFont="1" applyBorder="1" applyAlignment="1">
      <alignment horizontal="left" vertical="center" wrapText="1"/>
    </xf>
    <xf numFmtId="0" fontId="10" fillId="0" borderId="0" xfId="0" applyFont="1" applyAlignment="1">
      <alignment horizontal="left" vertical="center" wrapText="1"/>
    </xf>
    <xf numFmtId="0" fontId="8" fillId="0" borderId="0" xfId="0" applyFont="1" applyAlignment="1">
      <alignment horizontal="left" vertical="center" wrapText="1"/>
    </xf>
    <xf numFmtId="49" fontId="2" fillId="0" borderId="0" xfId="52" applyNumberFormat="1" applyFont="1" applyAlignment="1">
      <alignment vertical="center"/>
    </xf>
    <xf numFmtId="176" fontId="2" fillId="0" borderId="0" xfId="52" applyNumberFormat="1" applyFont="1" applyAlignment="1">
      <alignment vertical="center"/>
    </xf>
    <xf numFmtId="177" fontId="2" fillId="0" borderId="0" xfId="52" applyNumberFormat="1" applyFont="1" applyAlignment="1">
      <alignment vertical="center"/>
    </xf>
    <xf numFmtId="0" fontId="13" fillId="0" borderId="11" xfId="52" applyFont="1" applyBorder="1" applyAlignment="1">
      <alignment vertical="center" wrapText="1"/>
    </xf>
    <xf numFmtId="0" fontId="13" fillId="0" borderId="3" xfId="52" applyFont="1" applyBorder="1" applyAlignment="1">
      <alignment vertical="center" wrapText="1"/>
    </xf>
    <xf numFmtId="0" fontId="13" fillId="0" borderId="12" xfId="52" applyFont="1" applyBorder="1" applyAlignment="1">
      <alignment vertical="center" wrapText="1"/>
    </xf>
    <xf numFmtId="0" fontId="14" fillId="3" borderId="5" xfId="52" applyFont="1" applyFill="1" applyBorder="1" applyAlignment="1">
      <alignment horizontal="center" vertical="center" wrapText="1"/>
    </xf>
    <xf numFmtId="0" fontId="17" fillId="0" borderId="5" xfId="52" applyFont="1" applyBorder="1" applyAlignment="1">
      <alignment vertical="center"/>
    </xf>
    <xf numFmtId="0" fontId="17" fillId="0" borderId="5" xfId="52" applyFont="1" applyBorder="1" applyAlignment="1">
      <alignment vertical="center" wrapText="1"/>
    </xf>
    <xf numFmtId="0" fontId="8" fillId="0" borderId="5" xfId="3" applyNumberFormat="1" applyFont="1" applyFill="1" applyBorder="1" applyAlignment="1">
      <alignment horizontal="center" vertical="center"/>
    </xf>
    <xf numFmtId="49" fontId="15" fillId="0" borderId="5" xfId="52" applyNumberFormat="1" applyFont="1" applyBorder="1" applyAlignment="1">
      <alignment horizontal="center" vertical="center" wrapText="1"/>
    </xf>
    <xf numFmtId="0" fontId="12" fillId="3" borderId="5" xfId="52" applyFont="1" applyFill="1" applyBorder="1" applyAlignment="1">
      <alignment horizontal="left" vertical="center" wrapText="1"/>
    </xf>
    <xf numFmtId="0" fontId="8" fillId="0" borderId="5" xfId="58" applyFont="1" applyBorder="1" applyAlignment="1">
      <alignment vertical="center" wrapText="1"/>
    </xf>
    <xf numFmtId="177" fontId="10" fillId="0" borderId="5" xfId="52" applyNumberFormat="1" applyFont="1" applyBorder="1" applyAlignment="1">
      <alignment vertical="center"/>
    </xf>
    <xf numFmtId="179" fontId="14" fillId="0" borderId="5" xfId="52" applyNumberFormat="1" applyFont="1" applyBorder="1" applyAlignment="1">
      <alignment vertical="center" wrapText="1"/>
    </xf>
    <xf numFmtId="177" fontId="10" fillId="3" borderId="5" xfId="52" applyNumberFormat="1" applyFont="1" applyFill="1" applyBorder="1" applyAlignment="1">
      <alignment vertical="center"/>
    </xf>
    <xf numFmtId="0" fontId="8" fillId="3" borderId="5" xfId="52" applyFont="1" applyFill="1" applyBorder="1" applyAlignment="1">
      <alignment horizontal="left" vertical="center" wrapText="1"/>
    </xf>
    <xf numFmtId="181" fontId="6" fillId="0" borderId="5" xfId="52" applyNumberFormat="1" applyFont="1" applyBorder="1" applyAlignment="1">
      <alignment horizontal="center" vertical="center"/>
    </xf>
    <xf numFmtId="181" fontId="6" fillId="3" borderId="5" xfId="52" applyNumberFormat="1" applyFont="1" applyFill="1" applyBorder="1" applyAlignment="1">
      <alignment horizontal="center" vertical="center"/>
    </xf>
    <xf numFmtId="181" fontId="8" fillId="3" borderId="5" xfId="52" applyNumberFormat="1" applyFont="1" applyFill="1" applyBorder="1" applyAlignment="1">
      <alignment vertical="center"/>
    </xf>
    <xf numFmtId="179" fontId="0" fillId="0" borderId="0" xfId="52" applyNumberFormat="1" applyAlignment="1">
      <alignment vertical="center"/>
    </xf>
    <xf numFmtId="0" fontId="3" fillId="0" borderId="5" xfId="52" applyFont="1" applyBorder="1" applyAlignment="1">
      <alignment horizontal="center" vertical="center"/>
    </xf>
    <xf numFmtId="0" fontId="18" fillId="0" borderId="5" xfId="52" applyFont="1" applyBorder="1" applyAlignment="1">
      <alignment horizontal="center" vertical="center"/>
    </xf>
    <xf numFmtId="0" fontId="10" fillId="3" borderId="0" xfId="0" applyFont="1" applyFill="1" applyAlignment="1">
      <alignment horizontal="left" vertical="center" wrapText="1"/>
    </xf>
    <xf numFmtId="0" fontId="1" fillId="2" borderId="0" xfId="52" applyFont="1" applyFill="1" applyAlignment="1">
      <alignment horizontal="center" vertical="center" wrapText="1"/>
    </xf>
    <xf numFmtId="0" fontId="0" fillId="2" borderId="0" xfId="52" applyFill="1" applyAlignment="1">
      <alignment vertical="center"/>
    </xf>
    <xf numFmtId="0" fontId="2" fillId="2" borderId="0" xfId="52" applyFont="1" applyFill="1" applyAlignment="1">
      <alignment horizontal="center" vertical="center"/>
    </xf>
    <xf numFmtId="0" fontId="2" fillId="0" borderId="0" xfId="52" applyFont="1" applyAlignment="1">
      <alignment horizontal="center" vertical="center"/>
    </xf>
    <xf numFmtId="177" fontId="2" fillId="2" borderId="0" xfId="52" applyNumberFormat="1" applyFont="1" applyFill="1" applyAlignment="1">
      <alignment horizontal="center" vertical="center"/>
    </xf>
    <xf numFmtId="0" fontId="2" fillId="2" borderId="0" xfId="52" applyFont="1" applyFill="1" applyAlignment="1">
      <alignment horizontal="center" vertical="center" wrapText="1"/>
    </xf>
    <xf numFmtId="0" fontId="19" fillId="2" borderId="0" xfId="52" applyFont="1" applyFill="1" applyAlignment="1">
      <alignment horizontal="center" vertical="center" wrapText="1"/>
    </xf>
    <xf numFmtId="0" fontId="19" fillId="2" borderId="0" xfId="52" applyFont="1" applyFill="1" applyAlignment="1">
      <alignment horizontal="center" vertical="center"/>
    </xf>
    <xf numFmtId="179" fontId="19" fillId="2" borderId="0" xfId="52" applyNumberFormat="1" applyFont="1" applyFill="1" applyAlignment="1">
      <alignment horizontal="center" vertical="center"/>
    </xf>
    <xf numFmtId="0" fontId="0" fillId="2" borderId="0" xfId="52" applyFill="1" applyAlignment="1">
      <alignment horizontal="center" vertical="center"/>
    </xf>
    <xf numFmtId="0" fontId="6" fillId="2" borderId="0" xfId="52" applyFont="1" applyFill="1" applyAlignment="1">
      <alignment horizontal="center" vertical="center"/>
    </xf>
    <xf numFmtId="0" fontId="19" fillId="0" borderId="5" xfId="0" applyFont="1" applyBorder="1" applyAlignment="1">
      <alignment vertical="center"/>
    </xf>
    <xf numFmtId="0" fontId="20" fillId="0" borderId="5" xfId="0" applyFont="1" applyBorder="1" applyAlignment="1" applyProtection="1">
      <alignment horizontal="center" vertical="center"/>
      <protection locked="0"/>
    </xf>
    <xf numFmtId="0" fontId="21" fillId="2" borderId="0" xfId="52" applyFont="1" applyFill="1" applyAlignment="1">
      <alignment horizontal="center" vertical="center" wrapText="1"/>
    </xf>
    <xf numFmtId="0" fontId="21" fillId="0" borderId="0" xfId="52" applyFont="1" applyAlignment="1">
      <alignment horizontal="center" vertical="center" wrapText="1"/>
    </xf>
    <xf numFmtId="0" fontId="19" fillId="0" borderId="5" xfId="0" applyFont="1" applyBorder="1" applyAlignment="1">
      <alignment horizontal="center" vertical="center"/>
    </xf>
    <xf numFmtId="49" fontId="3" fillId="2" borderId="5" xfId="52" applyNumberFormat="1" applyFont="1" applyFill="1" applyBorder="1" applyAlignment="1">
      <alignment horizontal="center" vertical="center" wrapText="1"/>
    </xf>
    <xf numFmtId="0" fontId="3" fillId="2" borderId="5" xfId="52" applyFont="1" applyFill="1" applyBorder="1" applyAlignment="1">
      <alignment horizontal="center" vertical="center" wrapText="1"/>
    </xf>
    <xf numFmtId="176" fontId="3" fillId="2" borderId="5" xfId="52" applyNumberFormat="1" applyFont="1" applyFill="1" applyBorder="1" applyAlignment="1">
      <alignment horizontal="center" vertical="center" wrapText="1"/>
    </xf>
    <xf numFmtId="177" fontId="3" fillId="2" borderId="5" xfId="52" applyNumberFormat="1" applyFont="1" applyFill="1" applyBorder="1" applyAlignment="1">
      <alignment horizontal="center" vertical="center" wrapText="1"/>
    </xf>
    <xf numFmtId="177" fontId="3" fillId="2" borderId="1" xfId="52" applyNumberFormat="1" applyFont="1" applyFill="1" applyBorder="1" applyAlignment="1">
      <alignment horizontal="center" vertical="center" wrapText="1"/>
    </xf>
    <xf numFmtId="0" fontId="3" fillId="0" borderId="5" xfId="54" applyFont="1" applyBorder="1" applyAlignment="1">
      <alignment horizontal="center" vertical="center" wrapText="1"/>
    </xf>
    <xf numFmtId="177" fontId="3" fillId="0" borderId="5" xfId="54" applyNumberFormat="1" applyFont="1" applyBorder="1" applyAlignment="1">
      <alignment horizontal="center" vertical="center" wrapText="1"/>
    </xf>
    <xf numFmtId="0" fontId="3" fillId="2" borderId="11" xfId="52" applyFont="1" applyFill="1" applyBorder="1" applyAlignment="1">
      <alignment horizontal="center" vertical="center" wrapText="1"/>
    </xf>
    <xf numFmtId="0" fontId="19" fillId="2" borderId="11" xfId="52" applyFont="1" applyFill="1" applyBorder="1" applyAlignment="1">
      <alignment horizontal="center" vertical="center" wrapText="1"/>
    </xf>
    <xf numFmtId="0" fontId="20" fillId="0" borderId="5" xfId="0" applyFont="1" applyBorder="1" applyAlignment="1">
      <alignment horizontal="center" vertical="center"/>
    </xf>
    <xf numFmtId="0" fontId="20" fillId="0" borderId="5" xfId="0" applyFont="1" applyBorder="1" applyAlignment="1">
      <alignment horizontal="center" vertical="center" wrapText="1"/>
    </xf>
    <xf numFmtId="177" fontId="3" fillId="2" borderId="8" xfId="52" applyNumberFormat="1" applyFont="1" applyFill="1" applyBorder="1" applyAlignment="1">
      <alignment horizontal="center" vertical="center" wrapText="1"/>
    </xf>
    <xf numFmtId="177" fontId="3" fillId="0" borderId="5" xfId="52" applyNumberFormat="1" applyFont="1" applyBorder="1" applyAlignment="1">
      <alignment horizontal="center" vertical="center" wrapText="1"/>
    </xf>
    <xf numFmtId="0" fontId="19" fillId="2" borderId="2" xfId="52" applyFont="1" applyFill="1" applyBorder="1" applyAlignment="1">
      <alignment horizontal="center" vertical="center" wrapText="1"/>
    </xf>
    <xf numFmtId="0" fontId="20" fillId="0" borderId="1" xfId="0" applyFont="1" applyBorder="1" applyAlignment="1">
      <alignment horizontal="center" vertical="center"/>
    </xf>
    <xf numFmtId="0" fontId="19" fillId="2" borderId="5" xfId="52" applyFont="1" applyFill="1" applyBorder="1" applyAlignment="1">
      <alignment horizontal="center" vertical="center" wrapText="1"/>
    </xf>
    <xf numFmtId="0" fontId="20" fillId="0" borderId="5" xfId="0" applyFont="1" applyBorder="1" applyAlignment="1">
      <alignment vertical="center"/>
    </xf>
    <xf numFmtId="49" fontId="8" fillId="2" borderId="5" xfId="52" applyNumberFormat="1" applyFont="1" applyFill="1" applyBorder="1" applyAlignment="1">
      <alignment horizontal="center" vertical="center" wrapText="1"/>
    </xf>
    <xf numFmtId="0" fontId="8" fillId="2" borderId="5" xfId="52" applyFont="1" applyFill="1" applyBorder="1" applyAlignment="1">
      <alignment horizontal="center" vertical="center" wrapText="1"/>
    </xf>
    <xf numFmtId="179" fontId="8" fillId="2" borderId="5" xfId="52" applyNumberFormat="1" applyFont="1" applyFill="1" applyBorder="1" applyAlignment="1">
      <alignment horizontal="center" vertical="center"/>
    </xf>
    <xf numFmtId="177" fontId="8" fillId="2" borderId="5" xfId="52" applyNumberFormat="1" applyFont="1" applyFill="1" applyBorder="1" applyAlignment="1">
      <alignment horizontal="center" vertical="center"/>
    </xf>
    <xf numFmtId="0" fontId="8" fillId="2" borderId="5" xfId="52" applyFont="1" applyFill="1" applyBorder="1" applyAlignment="1">
      <alignment vertical="center" wrapText="1"/>
    </xf>
    <xf numFmtId="0" fontId="19" fillId="2" borderId="5" xfId="52" applyFont="1" applyFill="1" applyBorder="1" applyAlignment="1">
      <alignment horizontal="center" vertical="center"/>
    </xf>
    <xf numFmtId="179" fontId="19" fillId="2" borderId="5" xfId="52" applyNumberFormat="1" applyFont="1" applyFill="1" applyBorder="1" applyAlignment="1">
      <alignment horizontal="center" vertical="center"/>
    </xf>
    <xf numFmtId="0" fontId="8" fillId="2" borderId="5" xfId="52" applyFont="1" applyFill="1" applyBorder="1" applyAlignment="1">
      <alignment horizontal="left" vertical="center" wrapText="1"/>
    </xf>
    <xf numFmtId="179" fontId="22" fillId="2" borderId="5" xfId="52" applyNumberFormat="1" applyFont="1" applyFill="1" applyBorder="1" applyAlignment="1">
      <alignment horizontal="center" vertical="center"/>
    </xf>
    <xf numFmtId="0" fontId="22" fillId="2" borderId="5" xfId="52" applyFont="1" applyFill="1" applyBorder="1" applyAlignment="1">
      <alignment horizontal="center" vertical="center"/>
    </xf>
    <xf numFmtId="0" fontId="23" fillId="2" borderId="0" xfId="52" applyFont="1" applyFill="1" applyAlignment="1">
      <alignment horizontal="center" vertical="center"/>
    </xf>
    <xf numFmtId="178" fontId="8" fillId="2" borderId="5" xfId="52" applyNumberFormat="1" applyFont="1" applyFill="1" applyBorder="1" applyAlignment="1">
      <alignment horizontal="center" vertical="center"/>
    </xf>
    <xf numFmtId="0" fontId="8" fillId="2" borderId="5" xfId="52" applyFont="1" applyFill="1" applyBorder="1" applyAlignment="1">
      <alignment horizontal="center" vertical="center"/>
    </xf>
    <xf numFmtId="179" fontId="8" fillId="2" borderId="5" xfId="52" applyNumberFormat="1" applyFont="1" applyFill="1" applyBorder="1" applyAlignment="1">
      <alignment horizontal="left" vertical="center" wrapText="1"/>
    </xf>
    <xf numFmtId="0" fontId="19" fillId="2" borderId="5" xfId="52" applyFont="1" applyFill="1" applyBorder="1" applyAlignment="1">
      <alignment horizontal="left" vertical="center" wrapText="1"/>
    </xf>
    <xf numFmtId="177" fontId="22" fillId="2" borderId="5" xfId="52" applyNumberFormat="1" applyFont="1" applyFill="1" applyBorder="1" applyAlignment="1">
      <alignment horizontal="center" vertical="center"/>
    </xf>
    <xf numFmtId="182" fontId="19" fillId="2" borderId="5" xfId="52" applyNumberFormat="1" applyFont="1" applyFill="1" applyBorder="1" applyAlignment="1">
      <alignment horizontal="center" vertical="center"/>
    </xf>
    <xf numFmtId="183" fontId="19" fillId="2" borderId="5" xfId="52" applyNumberFormat="1" applyFont="1" applyFill="1" applyBorder="1" applyAlignment="1">
      <alignment horizontal="center" vertical="center"/>
    </xf>
    <xf numFmtId="0" fontId="19" fillId="2" borderId="5" xfId="52" applyFont="1" applyFill="1" applyBorder="1" applyAlignment="1">
      <alignment vertical="center"/>
    </xf>
    <xf numFmtId="0" fontId="19" fillId="2" borderId="0" xfId="52" applyFont="1" applyFill="1" applyAlignment="1">
      <alignment vertical="center"/>
    </xf>
    <xf numFmtId="178" fontId="8" fillId="2" borderId="5" xfId="52" applyNumberFormat="1" applyFont="1" applyFill="1" applyBorder="1" applyAlignment="1">
      <alignment horizontal="center" vertical="center" wrapText="1"/>
    </xf>
    <xf numFmtId="0" fontId="0" fillId="2" borderId="5" xfId="52" applyFill="1" applyBorder="1" applyAlignment="1">
      <alignment horizontal="center" vertical="center"/>
    </xf>
    <xf numFmtId="179" fontId="8" fillId="2" borderId="5" xfId="52" applyNumberFormat="1" applyFont="1" applyFill="1" applyBorder="1" applyAlignment="1">
      <alignment horizontal="center" vertical="center" wrapText="1"/>
    </xf>
    <xf numFmtId="0" fontId="19" fillId="2" borderId="0" xfId="52" applyFont="1" applyFill="1" applyAlignment="1">
      <alignment horizontal="left" vertical="center" wrapText="1"/>
    </xf>
    <xf numFmtId="177" fontId="2" fillId="2" borderId="5" xfId="52" applyNumberFormat="1" applyFont="1" applyFill="1" applyBorder="1" applyAlignment="1">
      <alignment horizontal="center" vertical="center"/>
    </xf>
    <xf numFmtId="0" fontId="2" fillId="2" borderId="5" xfId="52" applyFont="1" applyFill="1" applyBorder="1" applyAlignment="1">
      <alignment horizontal="center" vertical="center"/>
    </xf>
    <xf numFmtId="0" fontId="8" fillId="2" borderId="11" xfId="52" applyFont="1" applyFill="1" applyBorder="1" applyAlignment="1">
      <alignment horizontal="center" vertical="center" wrapText="1"/>
    </xf>
    <xf numFmtId="0" fontId="8" fillId="2" borderId="3" xfId="52" applyFont="1" applyFill="1" applyBorder="1" applyAlignment="1">
      <alignment horizontal="center" vertical="center" wrapText="1"/>
    </xf>
    <xf numFmtId="0" fontId="8" fillId="2" borderId="12" xfId="52" applyFont="1" applyFill="1" applyBorder="1" applyAlignment="1">
      <alignment horizontal="center" vertical="center" wrapText="1"/>
    </xf>
    <xf numFmtId="49" fontId="6" fillId="0" borderId="4" xfId="51" applyNumberFormat="1" applyFont="1" applyBorder="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49" fontId="6" fillId="0" borderId="0" xfId="51" applyNumberFormat="1" applyFont="1" applyAlignment="1">
      <alignment horizontal="left" vertical="center"/>
    </xf>
    <xf numFmtId="49" fontId="6" fillId="0" borderId="0" xfId="51" applyNumberFormat="1" applyFont="1" applyAlignment="1">
      <alignment horizontal="left" vertical="center" wrapText="1"/>
    </xf>
    <xf numFmtId="179" fontId="2" fillId="2" borderId="0" xfId="52" applyNumberFormat="1" applyFont="1" applyFill="1" applyAlignment="1">
      <alignment horizontal="center" vertical="center"/>
    </xf>
    <xf numFmtId="179" fontId="2" fillId="0" borderId="0" xfId="52" applyNumberFormat="1" applyFont="1" applyAlignment="1">
      <alignment horizontal="center" vertical="center"/>
    </xf>
    <xf numFmtId="179" fontId="2" fillId="2" borderId="0" xfId="52" applyNumberFormat="1" applyFont="1" applyFill="1" applyAlignment="1">
      <alignment horizontal="center" vertical="center" wrapText="1"/>
    </xf>
    <xf numFmtId="0" fontId="24" fillId="2" borderId="0" xfId="52" applyFont="1" applyFill="1" applyAlignment="1">
      <alignment horizontal="center" vertical="center"/>
    </xf>
    <xf numFmtId="179" fontId="21" fillId="2" borderId="0" xfId="52" applyNumberFormat="1" applyFont="1" applyFill="1" applyAlignment="1">
      <alignment horizontal="center" vertical="center" wrapText="1"/>
    </xf>
    <xf numFmtId="179" fontId="21" fillId="0" borderId="0" xfId="52" applyNumberFormat="1" applyFont="1" applyAlignment="1">
      <alignment horizontal="center" vertical="center" wrapText="1"/>
    </xf>
    <xf numFmtId="0" fontId="25" fillId="2" borderId="0" xfId="52" applyFont="1" applyFill="1" applyAlignment="1">
      <alignment horizontal="center" vertical="center" wrapText="1"/>
    </xf>
    <xf numFmtId="0" fontId="3" fillId="2" borderId="1" xfId="52" applyFont="1" applyFill="1" applyBorder="1" applyAlignment="1">
      <alignment horizontal="center" vertical="center" wrapText="1"/>
    </xf>
    <xf numFmtId="179" fontId="3" fillId="2" borderId="5" xfId="52" applyNumberFormat="1" applyFont="1" applyFill="1" applyBorder="1" applyAlignment="1">
      <alignment horizontal="center" vertical="center" wrapText="1"/>
    </xf>
    <xf numFmtId="176" fontId="3" fillId="2" borderId="11" xfId="52" applyNumberFormat="1" applyFont="1" applyFill="1" applyBorder="1" applyAlignment="1">
      <alignment horizontal="center" vertical="center" wrapText="1"/>
    </xf>
    <xf numFmtId="176" fontId="3" fillId="2" borderId="12" xfId="52" applyNumberFormat="1" applyFont="1" applyFill="1" applyBorder="1" applyAlignment="1">
      <alignment horizontal="center" vertical="center" wrapText="1"/>
    </xf>
    <xf numFmtId="176" fontId="3" fillId="2" borderId="1" xfId="52" applyNumberFormat="1" applyFont="1" applyFill="1" applyBorder="1" applyAlignment="1">
      <alignment horizontal="center" vertical="center" wrapText="1"/>
    </xf>
    <xf numFmtId="179" fontId="3" fillId="0" borderId="5" xfId="54" applyNumberFormat="1" applyFont="1" applyBorder="1" applyAlignment="1">
      <alignment horizontal="center" vertical="center" wrapText="1"/>
    </xf>
    <xf numFmtId="0" fontId="3" fillId="2" borderId="8" xfId="52" applyFont="1" applyFill="1" applyBorder="1" applyAlignment="1">
      <alignment horizontal="center" vertical="center" wrapText="1"/>
    </xf>
    <xf numFmtId="176" fontId="3" fillId="2" borderId="8" xfId="52" applyNumberFormat="1" applyFont="1" applyFill="1" applyBorder="1" applyAlignment="1">
      <alignment horizontal="center" vertical="center" wrapText="1"/>
    </xf>
    <xf numFmtId="179" fontId="3" fillId="0" borderId="5" xfId="52" applyNumberFormat="1" applyFont="1" applyBorder="1" applyAlignment="1">
      <alignment horizontal="center" vertical="center" wrapText="1"/>
    </xf>
    <xf numFmtId="179" fontId="3" fillId="0" borderId="5" xfId="54" applyNumberFormat="1" applyFont="1" applyFill="1" applyBorder="1" applyAlignment="1">
      <alignment horizontal="center" vertical="center" wrapText="1"/>
    </xf>
    <xf numFmtId="0" fontId="8" fillId="2" borderId="1" xfId="52" applyFont="1" applyFill="1" applyBorder="1" applyAlignment="1">
      <alignment horizontal="center" vertical="center" wrapText="1"/>
    </xf>
    <xf numFmtId="179" fontId="6" fillId="0" borderId="5" xfId="52" applyNumberFormat="1" applyFont="1" applyBorder="1" applyAlignment="1">
      <alignment horizontal="center" vertical="center" wrapText="1"/>
    </xf>
    <xf numFmtId="179" fontId="8" fillId="2" borderId="1" xfId="52" applyNumberFormat="1" applyFont="1" applyFill="1" applyBorder="1" applyAlignment="1">
      <alignment horizontal="center" vertical="center" wrapText="1"/>
    </xf>
    <xf numFmtId="0" fontId="8" fillId="2" borderId="6" xfId="52" applyFont="1" applyFill="1" applyBorder="1" applyAlignment="1">
      <alignment horizontal="center" vertical="center" wrapText="1"/>
    </xf>
    <xf numFmtId="179" fontId="8" fillId="2" borderId="6" xfId="52" applyNumberFormat="1" applyFont="1" applyFill="1" applyBorder="1" applyAlignment="1">
      <alignment horizontal="center" vertical="center" wrapText="1"/>
    </xf>
    <xf numFmtId="0" fontId="8" fillId="2" borderId="8" xfId="52" applyFont="1" applyFill="1" applyBorder="1" applyAlignment="1">
      <alignment horizontal="center" vertical="center" wrapText="1"/>
    </xf>
    <xf numFmtId="179" fontId="8" fillId="2" borderId="8" xfId="52" applyNumberFormat="1" applyFont="1" applyFill="1" applyBorder="1" applyAlignment="1">
      <alignment horizontal="center" vertical="center" wrapText="1"/>
    </xf>
    <xf numFmtId="49" fontId="16" fillId="2" borderId="11" xfId="52" applyNumberFormat="1" applyFont="1" applyFill="1" applyBorder="1" applyAlignment="1">
      <alignment horizontal="center" vertical="center" wrapText="1"/>
    </xf>
    <xf numFmtId="49" fontId="16" fillId="2" borderId="3" xfId="52" applyNumberFormat="1" applyFont="1" applyFill="1" applyBorder="1" applyAlignment="1">
      <alignment horizontal="center" vertical="center" wrapText="1"/>
    </xf>
    <xf numFmtId="49" fontId="16" fillId="2" borderId="12" xfId="52" applyNumberFormat="1" applyFont="1" applyFill="1" applyBorder="1" applyAlignment="1">
      <alignment horizontal="center" vertical="center" wrapText="1"/>
    </xf>
    <xf numFmtId="179" fontId="2" fillId="2" borderId="5" xfId="52" applyNumberFormat="1" applyFont="1" applyFill="1" applyBorder="1" applyAlignment="1">
      <alignment horizontal="center" vertical="center"/>
    </xf>
    <xf numFmtId="179" fontId="16" fillId="2" borderId="5" xfId="52" applyNumberFormat="1" applyFont="1" applyFill="1" applyBorder="1" applyAlignment="1">
      <alignment horizontal="center" vertical="center"/>
    </xf>
    <xf numFmtId="179" fontId="8" fillId="2" borderId="5" xfId="52" applyNumberFormat="1" applyFont="1" applyFill="1" applyBorder="1" applyAlignment="1">
      <alignment vertical="center" wrapText="1"/>
    </xf>
    <xf numFmtId="0" fontId="3" fillId="2" borderId="5" xfId="52" applyFont="1" applyFill="1" applyBorder="1" applyAlignment="1">
      <alignment horizontal="center" vertical="center"/>
    </xf>
    <xf numFmtId="0" fontId="18" fillId="2" borderId="5" xfId="52" applyFont="1" applyFill="1" applyBorder="1" applyAlignment="1">
      <alignment horizontal="center" vertical="center"/>
    </xf>
    <xf numFmtId="179" fontId="2" fillId="0" borderId="5" xfId="52" applyNumberFormat="1" applyFont="1" applyBorder="1" applyAlignment="1">
      <alignment vertical="center"/>
    </xf>
    <xf numFmtId="179" fontId="16" fillId="2" borderId="5" xfId="52" applyNumberFormat="1" applyFont="1" applyFill="1" applyBorder="1" applyAlignment="1">
      <alignment horizontal="center" vertical="center" wrapText="1"/>
    </xf>
    <xf numFmtId="0" fontId="2" fillId="2" borderId="5" xfId="52" applyFont="1" applyFill="1" applyBorder="1" applyAlignment="1">
      <alignment horizontal="center" vertical="center" wrapText="1"/>
    </xf>
    <xf numFmtId="179" fontId="6" fillId="2" borderId="0" xfId="52" applyNumberFormat="1" applyFont="1" applyFill="1" applyAlignment="1">
      <alignment horizontal="center" vertical="center"/>
    </xf>
    <xf numFmtId="0" fontId="26" fillId="0" borderId="0" xfId="0" applyNumberFormat="1" applyFont="1" applyFill="1" applyAlignment="1"/>
    <xf numFmtId="0" fontId="27" fillId="0" borderId="0" xfId="0" applyNumberFormat="1" applyFont="1" applyFill="1" applyAlignment="1">
      <alignment horizontal="center" vertical="center" wrapText="1"/>
    </xf>
    <xf numFmtId="0" fontId="27" fillId="0" borderId="0" xfId="0" applyNumberFormat="1" applyFont="1" applyFill="1" applyAlignment="1">
      <alignment horizontal="left" vertical="center" wrapText="1"/>
    </xf>
    <xf numFmtId="0" fontId="28" fillId="0" borderId="0" xfId="0" applyFont="1" applyFill="1" applyAlignment="1">
      <alignment vertical="center" wrapText="1"/>
    </xf>
    <xf numFmtId="0" fontId="29" fillId="0" borderId="0" xfId="0" applyFont="1" applyFill="1" applyAlignment="1">
      <alignment vertical="center" wrapText="1"/>
    </xf>
    <xf numFmtId="179" fontId="29" fillId="0" borderId="0" xfId="0" applyNumberFormat="1" applyFont="1" applyFill="1" applyAlignment="1">
      <alignment horizontal="center" vertical="center" wrapText="1"/>
    </xf>
    <xf numFmtId="0" fontId="29" fillId="0" borderId="0" xfId="0" applyFont="1" applyFill="1" applyAlignment="1">
      <alignment horizontal="center" vertical="center" wrapText="1"/>
    </xf>
    <xf numFmtId="0" fontId="30" fillId="0" borderId="1" xfId="0" applyNumberFormat="1" applyFont="1" applyFill="1" applyBorder="1" applyAlignment="1">
      <alignment horizontal="center" vertical="center" wrapText="1"/>
    </xf>
    <xf numFmtId="0" fontId="30" fillId="0" borderId="5" xfId="0" applyNumberFormat="1" applyFont="1" applyFill="1" applyBorder="1" applyAlignment="1">
      <alignment horizontal="center" vertical="center" wrapText="1"/>
    </xf>
    <xf numFmtId="0" fontId="30" fillId="0" borderId="8" xfId="0" applyNumberFormat="1" applyFont="1" applyFill="1" applyBorder="1" applyAlignment="1">
      <alignment horizontal="center" vertical="center" wrapText="1"/>
    </xf>
    <xf numFmtId="0" fontId="31" fillId="3" borderId="5" xfId="0" applyNumberFormat="1" applyFont="1" applyFill="1" applyBorder="1" applyAlignment="1">
      <alignment horizontal="center" vertical="center" wrapText="1"/>
    </xf>
    <xf numFmtId="0" fontId="30" fillId="0" borderId="5" xfId="0" applyNumberFormat="1" applyFont="1" applyFill="1" applyBorder="1" applyAlignment="1">
      <alignment horizontal="left" vertical="center" wrapText="1"/>
    </xf>
    <xf numFmtId="0" fontId="32" fillId="0" borderId="5" xfId="68" applyFont="1" applyFill="1" applyBorder="1" applyAlignment="1">
      <alignment horizontal="left" vertical="center" wrapText="1"/>
    </xf>
    <xf numFmtId="0" fontId="32" fillId="0" borderId="5" xfId="0" applyFont="1" applyFill="1" applyBorder="1" applyAlignment="1">
      <alignment horizontal="left" vertical="center" wrapText="1"/>
    </xf>
    <xf numFmtId="0" fontId="30" fillId="0" borderId="11" xfId="0" applyNumberFormat="1" applyFont="1" applyFill="1" applyBorder="1" applyAlignment="1">
      <alignment horizontal="center" vertical="center" wrapText="1"/>
    </xf>
    <xf numFmtId="0" fontId="30" fillId="0" borderId="3" xfId="0" applyNumberFormat="1" applyFont="1" applyFill="1" applyBorder="1" applyAlignment="1">
      <alignment horizontal="center" vertical="center" wrapText="1"/>
    </xf>
    <xf numFmtId="0" fontId="30" fillId="0" borderId="12" xfId="0" applyNumberFormat="1" applyFont="1" applyFill="1" applyBorder="1" applyAlignment="1">
      <alignment horizontal="center" vertical="center" wrapText="1"/>
    </xf>
    <xf numFmtId="0" fontId="32" fillId="0" borderId="5" xfId="50" applyFont="1" applyFill="1" applyBorder="1" applyAlignment="1">
      <alignment horizontal="left" vertical="center" wrapText="1"/>
    </xf>
    <xf numFmtId="49" fontId="32" fillId="0" borderId="0" xfId="51" applyNumberFormat="1" applyFont="1" applyAlignment="1">
      <alignment horizontal="left" vertical="center" wrapText="1"/>
    </xf>
    <xf numFmtId="49" fontId="32" fillId="0" borderId="0" xfId="51" applyNumberFormat="1" applyFont="1" applyAlignment="1">
      <alignment vertical="center" wrapText="1"/>
    </xf>
    <xf numFmtId="0" fontId="0" fillId="0" borderId="0" xfId="0" applyFont="1"/>
    <xf numFmtId="0" fontId="33" fillId="4" borderId="0" xfId="0" applyFont="1" applyFill="1" applyAlignment="1">
      <alignment horizontal="left" vertical="top" wrapText="1"/>
    </xf>
    <xf numFmtId="0" fontId="34" fillId="4" borderId="0" xfId="0" applyFont="1" applyFill="1" applyAlignment="1">
      <alignment horizontal="center" vertical="top" wrapText="1"/>
    </xf>
    <xf numFmtId="0" fontId="35" fillId="4" borderId="0" xfId="0" applyFont="1" applyFill="1" applyAlignment="1">
      <alignment horizontal="left" vertical="top" wrapText="1"/>
    </xf>
    <xf numFmtId="0" fontId="1" fillId="0" borderId="0" xfId="52" applyFont="1" applyAlignment="1">
      <alignment horizontal="center" vertical="center" wrapText="1"/>
    </xf>
    <xf numFmtId="0" fontId="1" fillId="3" borderId="0" xfId="52" applyFont="1" applyFill="1" applyAlignment="1">
      <alignment horizontal="left" vertical="center" wrapText="1"/>
    </xf>
    <xf numFmtId="0" fontId="0" fillId="5" borderId="0" xfId="52" applyFill="1" applyAlignment="1">
      <alignment horizontal="center" vertical="center"/>
    </xf>
    <xf numFmtId="0" fontId="2" fillId="3" borderId="0" xfId="52" applyFont="1" applyFill="1" applyAlignment="1">
      <alignment horizontal="center" vertical="center"/>
    </xf>
    <xf numFmtId="0" fontId="2" fillId="0" borderId="0" xfId="52" applyFont="1" applyAlignment="1">
      <alignment horizontal="center" vertical="center" wrapText="1"/>
    </xf>
    <xf numFmtId="179" fontId="0" fillId="0" borderId="0" xfId="52" applyNumberFormat="1" applyAlignment="1">
      <alignment horizontal="center" vertical="center"/>
    </xf>
    <xf numFmtId="0" fontId="36" fillId="0" borderId="0" xfId="52" applyFont="1" applyAlignment="1">
      <alignment horizontal="center" vertical="center" wrapText="1"/>
    </xf>
    <xf numFmtId="0" fontId="36" fillId="3" borderId="0" xfId="52" applyFont="1" applyFill="1" applyAlignment="1">
      <alignment horizontal="center" vertical="center" wrapText="1"/>
    </xf>
    <xf numFmtId="0" fontId="4" fillId="0" borderId="0" xfId="52" applyFont="1" applyAlignment="1">
      <alignment horizontal="center" vertical="center"/>
    </xf>
    <xf numFmtId="179" fontId="5" fillId="0" borderId="0" xfId="52" applyNumberFormat="1" applyFont="1" applyAlignment="1">
      <alignment horizontal="center" vertical="center" wrapText="1"/>
    </xf>
    <xf numFmtId="49" fontId="3" fillId="0" borderId="5" xfId="52" applyNumberFormat="1" applyFont="1" applyBorder="1" applyAlignment="1">
      <alignment horizontal="center" vertical="center" wrapText="1"/>
    </xf>
    <xf numFmtId="0" fontId="3" fillId="0" borderId="5" xfId="52" applyFont="1" applyBorder="1" applyAlignment="1">
      <alignment horizontal="center" vertical="center" wrapText="1"/>
    </xf>
    <xf numFmtId="176" fontId="3" fillId="0" borderId="5" xfId="52" applyNumberFormat="1" applyFont="1" applyBorder="1" applyAlignment="1">
      <alignment horizontal="center" vertical="center" wrapText="1"/>
    </xf>
    <xf numFmtId="0" fontId="3" fillId="3" borderId="5" xfId="54" applyFont="1" applyFill="1" applyBorder="1" applyAlignment="1">
      <alignment horizontal="center" vertical="center" wrapText="1"/>
    </xf>
    <xf numFmtId="178" fontId="3" fillId="0" borderId="5" xfId="54" applyNumberFormat="1" applyFont="1" applyBorder="1" applyAlignment="1">
      <alignment horizontal="center" vertical="center" wrapText="1"/>
    </xf>
    <xf numFmtId="179" fontId="37" fillId="0" borderId="0" xfId="52" applyNumberFormat="1" applyFont="1" applyAlignment="1">
      <alignment horizontal="center" vertical="center"/>
    </xf>
    <xf numFmtId="0" fontId="37" fillId="0" borderId="0" xfId="52" applyFont="1" applyAlignment="1">
      <alignment horizontal="center" vertical="center"/>
    </xf>
    <xf numFmtId="177" fontId="3" fillId="3" borderId="1" xfId="52" applyNumberFormat="1" applyFont="1" applyFill="1" applyBorder="1" applyAlignment="1">
      <alignment horizontal="center" vertical="center" wrapText="1"/>
    </xf>
    <xf numFmtId="177" fontId="3" fillId="0" borderId="1" xfId="52" applyNumberFormat="1" applyFont="1" applyBorder="1" applyAlignment="1">
      <alignment horizontal="center" vertical="center" wrapText="1"/>
    </xf>
    <xf numFmtId="176" fontId="3" fillId="0" borderId="1" xfId="52" applyNumberFormat="1" applyFont="1" applyBorder="1" applyAlignment="1">
      <alignment horizontal="center" vertical="center" wrapText="1"/>
    </xf>
    <xf numFmtId="177" fontId="3" fillId="3" borderId="8" xfId="52" applyNumberFormat="1" applyFont="1" applyFill="1" applyBorder="1" applyAlignment="1">
      <alignment horizontal="center" vertical="center" wrapText="1"/>
    </xf>
    <xf numFmtId="177" fontId="3" fillId="0" borderId="8" xfId="52" applyNumberFormat="1" applyFont="1" applyBorder="1" applyAlignment="1">
      <alignment horizontal="center" vertical="center" wrapText="1"/>
    </xf>
    <xf numFmtId="176" fontId="3" fillId="0" borderId="8" xfId="52" applyNumberFormat="1" applyFont="1" applyBorder="1" applyAlignment="1">
      <alignment horizontal="center" vertical="center" wrapText="1"/>
    </xf>
    <xf numFmtId="177" fontId="6" fillId="3" borderId="5" xfId="52" applyNumberFormat="1" applyFont="1" applyFill="1" applyBorder="1" applyAlignment="1">
      <alignment horizontal="center" vertical="center" wrapText="1"/>
    </xf>
    <xf numFmtId="176" fontId="38" fillId="0" borderId="0" xfId="52" applyNumberFormat="1" applyFont="1" applyAlignment="1">
      <alignment horizontal="center" vertical="center"/>
    </xf>
    <xf numFmtId="176" fontId="6" fillId="3" borderId="5" xfId="52" applyNumberFormat="1" applyFont="1" applyFill="1" applyBorder="1" applyAlignment="1">
      <alignment horizontal="center" vertical="center" wrapText="1"/>
    </xf>
    <xf numFmtId="0" fontId="6" fillId="0" borderId="5" xfId="3" applyNumberFormat="1" applyFont="1" applyFill="1" applyBorder="1" applyAlignment="1">
      <alignment horizontal="center" vertical="center" wrapText="1"/>
    </xf>
    <xf numFmtId="0" fontId="6" fillId="0" borderId="5" xfId="52" applyFont="1" applyBorder="1" applyAlignment="1">
      <alignment horizontal="left" vertical="center" wrapText="1"/>
    </xf>
    <xf numFmtId="0" fontId="9" fillId="0" borderId="0" xfId="52" applyFont="1" applyAlignment="1">
      <alignment horizontal="center" vertical="center"/>
    </xf>
    <xf numFmtId="0" fontId="6" fillId="0" borderId="5" xfId="0" applyFont="1" applyBorder="1" applyAlignment="1">
      <alignment horizontal="left" vertical="center" wrapText="1"/>
    </xf>
    <xf numFmtId="176" fontId="39" fillId="0" borderId="0" xfId="52" applyNumberFormat="1" applyFont="1" applyAlignment="1">
      <alignment horizontal="center" vertical="center"/>
    </xf>
    <xf numFmtId="0" fontId="1" fillId="0" borderId="0" xfId="52" applyFont="1" applyAlignment="1">
      <alignment horizontal="left" vertical="top" wrapText="1"/>
    </xf>
    <xf numFmtId="49" fontId="6" fillId="3" borderId="5" xfId="0" applyNumberFormat="1" applyFont="1" applyFill="1" applyBorder="1" applyAlignment="1">
      <alignment horizontal="center" vertical="center" wrapText="1"/>
    </xf>
    <xf numFmtId="49" fontId="6" fillId="3" borderId="5" xfId="52" applyNumberFormat="1" applyFont="1" applyFill="1" applyBorder="1" applyAlignment="1">
      <alignment horizontal="center" vertical="center" wrapText="1"/>
    </xf>
    <xf numFmtId="0" fontId="6" fillId="3" borderId="5" xfId="3" applyNumberFormat="1"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3" borderId="5" xfId="52" applyFont="1" applyFill="1" applyBorder="1" applyAlignment="1">
      <alignment horizontal="left" vertical="center" wrapText="1"/>
    </xf>
    <xf numFmtId="176" fontId="4" fillId="3" borderId="0" xfId="52" applyNumberFormat="1" applyFont="1" applyFill="1" applyAlignment="1">
      <alignment vertical="center"/>
    </xf>
    <xf numFmtId="179" fontId="5" fillId="3" borderId="0" xfId="52" applyNumberFormat="1" applyFont="1" applyFill="1" applyAlignment="1">
      <alignment horizontal="center" vertical="center" wrapText="1"/>
    </xf>
    <xf numFmtId="0" fontId="1" fillId="3" borderId="0" xfId="52" applyFont="1" applyFill="1" applyAlignment="1">
      <alignment horizontal="left" vertical="top" wrapText="1"/>
    </xf>
    <xf numFmtId="49" fontId="8" fillId="0" borderId="5" xfId="52" applyNumberFormat="1" applyFont="1" applyBorder="1" applyAlignment="1">
      <alignment horizontal="center" vertical="center" wrapText="1"/>
    </xf>
    <xf numFmtId="0" fontId="8" fillId="0" borderId="5" xfId="52" applyFont="1" applyBorder="1" applyAlignment="1">
      <alignment vertical="top" wrapText="1"/>
    </xf>
    <xf numFmtId="179" fontId="0" fillId="5" borderId="0" xfId="52" applyNumberFormat="1" applyFill="1" applyAlignment="1">
      <alignment horizontal="center" vertical="center"/>
    </xf>
    <xf numFmtId="49" fontId="7" fillId="0" borderId="5" xfId="0" applyNumberFormat="1" applyFont="1" applyBorder="1" applyAlignment="1">
      <alignment horizontal="left" vertical="center" wrapText="1"/>
    </xf>
    <xf numFmtId="0" fontId="2" fillId="0" borderId="5" xfId="52" applyFont="1" applyBorder="1" applyAlignment="1">
      <alignment horizontal="center" vertical="center"/>
    </xf>
    <xf numFmtId="177" fontId="2" fillId="3" borderId="5" xfId="52" applyNumberFormat="1" applyFont="1" applyFill="1" applyBorder="1" applyAlignment="1">
      <alignment vertical="center"/>
    </xf>
    <xf numFmtId="0" fontId="2" fillId="0" borderId="5" xfId="52" applyFont="1" applyBorder="1" applyAlignment="1">
      <alignment horizontal="center" vertical="center" wrapText="1"/>
    </xf>
    <xf numFmtId="178" fontId="2" fillId="0" borderId="0" xfId="52" applyNumberFormat="1" applyFont="1" applyAlignment="1">
      <alignment horizontal="center" vertical="center"/>
    </xf>
    <xf numFmtId="0" fontId="1" fillId="0" borderId="0" xfId="52" applyFont="1" applyAlignment="1">
      <alignment horizontal="center" vertical="center"/>
    </xf>
    <xf numFmtId="0" fontId="8" fillId="0" borderId="4" xfId="0" applyFont="1" applyBorder="1" applyAlignment="1">
      <alignment horizontal="center" vertical="center" wrapText="1"/>
    </xf>
    <xf numFmtId="0" fontId="8" fillId="3" borderId="4" xfId="0" applyFont="1" applyFill="1" applyBorder="1" applyAlignment="1">
      <alignment horizontal="left" vertical="center" wrapText="1"/>
    </xf>
    <xf numFmtId="0" fontId="8" fillId="0" borderId="0" xfId="0" applyFont="1" applyAlignment="1">
      <alignment horizontal="center" vertical="center" wrapText="1"/>
    </xf>
    <xf numFmtId="0" fontId="8" fillId="3" borderId="0" xfId="0" applyFont="1" applyFill="1" applyAlignment="1">
      <alignment horizontal="left"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17 2" xfId="51"/>
    <cellStyle name="常规 2" xfId="52"/>
    <cellStyle name="常规 2 2 2" xfId="53"/>
    <cellStyle name="常规 3" xfId="54"/>
    <cellStyle name="常规 3 2" xfId="55"/>
    <cellStyle name="常规 3 2 2" xfId="56"/>
    <cellStyle name="常规 3 3" xfId="57"/>
    <cellStyle name="常规 3 4" xfId="58"/>
    <cellStyle name="常规 4" xfId="59"/>
    <cellStyle name="常规 5" xfId="60"/>
    <cellStyle name="常规 5 2" xfId="61"/>
    <cellStyle name="常规 6" xfId="62"/>
    <cellStyle name="常规 6 2" xfId="63"/>
    <cellStyle name="常规 7" xfId="64"/>
    <cellStyle name="常规 8" xfId="65"/>
    <cellStyle name="常规 9" xfId="66"/>
    <cellStyle name="常规_1标段清单k0+000~k4+050段" xfId="67"/>
    <cellStyle name="常规_工作表 在 关于上报工程项目劳务分包价格等统计表的通知" xfId="68"/>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0"/>
  <sheetViews>
    <sheetView showZeros="0" view="pageBreakPreview" zoomScale="70" zoomScalePageLayoutView="10" zoomScaleNormal="40" workbookViewId="0">
      <pane ySplit="5" topLeftCell="A23" activePane="bottomLeft" state="frozen"/>
      <selection/>
      <selection pane="bottomLeft" activeCell="B23" sqref="B23"/>
    </sheetView>
  </sheetViews>
  <sheetFormatPr defaultColWidth="9.14285714285714" defaultRowHeight="23.25"/>
  <cols>
    <col min="1" max="1" width="13.5714285714286" style="141" customWidth="1"/>
    <col min="2" max="2" width="25.4285714285714" style="141" customWidth="1"/>
    <col min="3" max="3" width="9.42857142857143" style="141" customWidth="1"/>
    <col min="4" max="4" width="20.4285714285714" style="141" customWidth="1"/>
    <col min="5" max="5" width="17.7142857142857" style="141" customWidth="1"/>
    <col min="6" max="6" width="20" style="268" customWidth="1"/>
    <col min="7" max="7" width="17.7142857142857" style="141" customWidth="1"/>
    <col min="8" max="8" width="20" style="141" customWidth="1"/>
    <col min="9" max="9" width="21.1428571428571" style="141" customWidth="1"/>
    <col min="10" max="10" width="23.2857142857143" style="141" customWidth="1"/>
    <col min="11" max="11" width="39" style="269" customWidth="1"/>
    <col min="12" max="12" width="62.4285714285714" style="269" customWidth="1"/>
    <col min="13" max="13" width="25.7142857142857" style="141" customWidth="1"/>
    <col min="14" max="14" width="21.1428571428571" style="2" customWidth="1"/>
    <col min="15" max="15" width="21.5714285714286" style="270" customWidth="1"/>
    <col min="16" max="16" width="27.8571428571429" style="2" customWidth="1"/>
    <col min="17" max="33" width="9.14285714285714" style="2" customWidth="1"/>
    <col min="34" max="16384" width="9.14285714285714" style="2"/>
  </cols>
  <sheetData>
    <row r="1" s="265" customFormat="1" ht="61.5" customHeight="1" spans="1:16">
      <c r="A1" s="271" t="s">
        <v>0</v>
      </c>
      <c r="B1" s="271"/>
      <c r="C1" s="271"/>
      <c r="D1" s="271"/>
      <c r="E1" s="271"/>
      <c r="F1" s="272"/>
      <c r="G1" s="271"/>
      <c r="H1" s="271"/>
      <c r="I1" s="271"/>
      <c r="J1" s="271"/>
      <c r="K1" s="271"/>
      <c r="L1" s="271"/>
      <c r="M1" s="271"/>
      <c r="N1" s="273">
        <v>1.09</v>
      </c>
      <c r="O1" s="274"/>
    </row>
    <row r="2" ht="45.75" customHeight="1" spans="1:16">
      <c r="A2" s="275" t="s">
        <v>1</v>
      </c>
      <c r="B2" s="276" t="s">
        <v>2</v>
      </c>
      <c r="C2" s="276" t="s">
        <v>3</v>
      </c>
      <c r="D2" s="277" t="s">
        <v>4</v>
      </c>
      <c r="E2" s="166" t="s">
        <v>5</v>
      </c>
      <c r="F2" s="278" t="s">
        <v>6</v>
      </c>
      <c r="G2" s="166"/>
      <c r="H2" s="159" t="s">
        <v>6</v>
      </c>
      <c r="I2" s="279"/>
      <c r="J2" s="276" t="s">
        <v>7</v>
      </c>
      <c r="K2" s="276" t="s">
        <v>8</v>
      </c>
      <c r="L2" s="276" t="s">
        <v>9</v>
      </c>
      <c r="M2" s="276" t="s">
        <v>10</v>
      </c>
      <c r="O2" s="280" t="s">
        <v>11</v>
      </c>
      <c r="P2" s="281" t="s">
        <v>12</v>
      </c>
    </row>
    <row r="3" s="265" customFormat="1" ht="12" customHeight="1" spans="1:16">
      <c r="A3" s="275"/>
      <c r="B3" s="276"/>
      <c r="C3" s="276"/>
      <c r="D3" s="277"/>
      <c r="E3" s="166"/>
      <c r="F3" s="282" t="s">
        <v>13</v>
      </c>
      <c r="G3" s="283"/>
      <c r="H3" s="283" t="s">
        <v>13</v>
      </c>
      <c r="I3" s="284" t="s">
        <v>14</v>
      </c>
      <c r="J3" s="276"/>
      <c r="K3" s="276"/>
      <c r="L3" s="276"/>
      <c r="M3" s="276"/>
      <c r="N3" s="273"/>
      <c r="O3" s="274"/>
    </row>
    <row r="4" s="265" customFormat="1" ht="42.75" customHeight="1" spans="1:16">
      <c r="A4" s="275"/>
      <c r="B4" s="276"/>
      <c r="C4" s="276"/>
      <c r="D4" s="277"/>
      <c r="E4" s="166"/>
      <c r="F4" s="285"/>
      <c r="G4" s="286"/>
      <c r="H4" s="286"/>
      <c r="I4" s="287"/>
      <c r="J4" s="276"/>
      <c r="K4" s="276"/>
      <c r="L4" s="276"/>
      <c r="M4" s="276"/>
      <c r="N4" s="273"/>
      <c r="O4" s="274"/>
    </row>
    <row r="5" s="265" customFormat="1" ht="26.25" customHeight="1" spans="1:16">
      <c r="A5" s="30" t="s">
        <v>15</v>
      </c>
      <c r="B5" s="30"/>
      <c r="C5" s="30" t="s">
        <v>16</v>
      </c>
      <c r="D5" s="31" t="s">
        <v>17</v>
      </c>
      <c r="E5" s="31" t="s">
        <v>18</v>
      </c>
      <c r="F5" s="288" t="s">
        <v>19</v>
      </c>
      <c r="G5" s="31"/>
      <c r="H5" s="32" t="s">
        <v>19</v>
      </c>
      <c r="I5" s="31" t="s">
        <v>20</v>
      </c>
      <c r="J5" s="276"/>
      <c r="K5" s="276"/>
      <c r="L5" s="276"/>
      <c r="M5" s="276"/>
      <c r="N5" s="289">
        <f>SUM(I7:I31)</f>
        <v>12835280</v>
      </c>
      <c r="O5" s="274"/>
    </row>
    <row r="6" s="265" customFormat="1" ht="141.95" customHeight="1" spans="1:16">
      <c r="A6" s="30" t="s">
        <v>21</v>
      </c>
      <c r="B6" s="30" t="s">
        <v>22</v>
      </c>
      <c r="C6" s="33" t="s">
        <v>23</v>
      </c>
      <c r="D6" s="31">
        <v>1</v>
      </c>
      <c r="E6" s="30" t="s">
        <v>24</v>
      </c>
      <c r="F6" s="290">
        <f>L5*0.015</f>
        <v>0</v>
      </c>
      <c r="G6" s="30"/>
      <c r="H6" s="31">
        <f>N5*0.015</f>
        <v>192529.2</v>
      </c>
      <c r="I6" s="291">
        <f>ROUND(D6*H6,0)</f>
        <v>192529</v>
      </c>
      <c r="J6" s="46" t="s">
        <v>25</v>
      </c>
      <c r="K6" s="292" t="s">
        <v>26</v>
      </c>
      <c r="L6" s="35" t="s">
        <v>27</v>
      </c>
      <c r="M6" s="292" t="s">
        <v>28</v>
      </c>
      <c r="N6" s="293"/>
      <c r="O6" s="274">
        <v>0</v>
      </c>
    </row>
    <row r="7" s="1" customFormat="1" ht="134.1" customHeight="1" spans="1:16">
      <c r="A7" s="33" t="s">
        <v>29</v>
      </c>
      <c r="B7" s="33" t="s">
        <v>30</v>
      </c>
      <c r="C7" s="30" t="s">
        <v>23</v>
      </c>
      <c r="D7" s="31">
        <v>1</v>
      </c>
      <c r="E7" s="30" t="s">
        <v>24</v>
      </c>
      <c r="F7" s="290"/>
      <c r="G7" s="30"/>
      <c r="H7" s="31">
        <f>N7*0.001</f>
        <v>12822.458</v>
      </c>
      <c r="I7" s="291">
        <f>ROUND(D7*H7,0)</f>
        <v>12822</v>
      </c>
      <c r="J7" s="46" t="s">
        <v>25</v>
      </c>
      <c r="K7" s="294" t="s">
        <v>31</v>
      </c>
      <c r="L7" s="294" t="s">
        <v>32</v>
      </c>
      <c r="M7" s="292" t="s">
        <v>33</v>
      </c>
      <c r="N7" s="295">
        <f>SUM(I10:I31)</f>
        <v>12822458</v>
      </c>
      <c r="O7" s="274"/>
      <c r="P7" s="296"/>
    </row>
    <row r="8" s="266" customFormat="1" ht="51.95" customHeight="1" spans="1:16">
      <c r="A8" s="297" t="s">
        <v>34</v>
      </c>
      <c r="B8" s="297" t="s">
        <v>0</v>
      </c>
      <c r="C8" s="298"/>
      <c r="D8" s="290"/>
      <c r="E8" s="298"/>
      <c r="F8" s="290"/>
      <c r="G8" s="298"/>
      <c r="H8" s="290"/>
      <c r="I8" s="299"/>
      <c r="J8" s="49"/>
      <c r="K8" s="300"/>
      <c r="L8" s="300"/>
      <c r="M8" s="301"/>
      <c r="N8" s="302"/>
      <c r="O8" s="303"/>
      <c r="P8" s="304"/>
    </row>
    <row r="9" ht="35.1" customHeight="1" spans="1:16">
      <c r="A9" s="54" t="s">
        <v>35</v>
      </c>
      <c r="B9" s="54" t="s">
        <v>36</v>
      </c>
      <c r="C9" s="54"/>
      <c r="D9" s="54"/>
      <c r="E9" s="44"/>
      <c r="F9" s="288"/>
      <c r="G9" s="44"/>
      <c r="H9" s="32"/>
      <c r="I9" s="291">
        <f t="shared" ref="I9:I26" si="0">ROUND(D9*H9,0)</f>
        <v>0</v>
      </c>
      <c r="J9" s="43"/>
      <c r="K9" s="46"/>
      <c r="L9" s="46"/>
      <c r="M9" s="43"/>
    </row>
    <row r="10" ht="155.1" customHeight="1" spans="1:16">
      <c r="A10" s="305" t="s">
        <v>37</v>
      </c>
      <c r="B10" s="54" t="s">
        <v>38</v>
      </c>
      <c r="C10" s="54" t="s">
        <v>39</v>
      </c>
      <c r="D10" s="54">
        <f>5563+1773</f>
        <v>7336</v>
      </c>
      <c r="E10" s="44">
        <v>394.56</v>
      </c>
      <c r="F10" s="288">
        <v>237.98</v>
      </c>
      <c r="G10" s="44">
        <v>0.98</v>
      </c>
      <c r="H10" s="291">
        <f t="shared" ref="H10:H12" si="1">ROUND(F10*G10,2)</f>
        <v>233.22</v>
      </c>
      <c r="I10" s="291">
        <f t="shared" si="0"/>
        <v>1710902</v>
      </c>
      <c r="J10" s="46" t="s">
        <v>40</v>
      </c>
      <c r="K10" s="46" t="s">
        <v>41</v>
      </c>
      <c r="L10" s="46" t="s">
        <v>42</v>
      </c>
      <c r="M10" s="43"/>
    </row>
    <row r="11" ht="170.1" customHeight="1" spans="1:16">
      <c r="A11" s="305" t="s">
        <v>43</v>
      </c>
      <c r="B11" s="54" t="s">
        <v>44</v>
      </c>
      <c r="C11" s="54" t="s">
        <v>39</v>
      </c>
      <c r="D11" s="54">
        <f>536.9+384.9</f>
        <v>921.8</v>
      </c>
      <c r="E11" s="44">
        <v>388.8</v>
      </c>
      <c r="F11" s="288">
        <v>232.84</v>
      </c>
      <c r="G11" s="44">
        <v>0.98</v>
      </c>
      <c r="H11" s="291">
        <f t="shared" si="1"/>
        <v>228.18</v>
      </c>
      <c r="I11" s="291">
        <f t="shared" si="0"/>
        <v>210336</v>
      </c>
      <c r="J11" s="46" t="s">
        <v>40</v>
      </c>
      <c r="K11" s="46" t="s">
        <v>41</v>
      </c>
      <c r="L11" s="46" t="s">
        <v>45</v>
      </c>
      <c r="M11" s="43"/>
    </row>
    <row r="12" ht="156.95" customHeight="1" spans="1:16">
      <c r="A12" s="305" t="s">
        <v>46</v>
      </c>
      <c r="B12" s="54" t="s">
        <v>47</v>
      </c>
      <c r="C12" s="54" t="s">
        <v>48</v>
      </c>
      <c r="D12" s="54">
        <f>1542.3+1105.8</f>
        <v>2648.1</v>
      </c>
      <c r="E12" s="44">
        <v>15.22</v>
      </c>
      <c r="F12" s="288">
        <v>13.58</v>
      </c>
      <c r="G12" s="44">
        <v>0.98</v>
      </c>
      <c r="H12" s="291">
        <f t="shared" si="1"/>
        <v>13.31</v>
      </c>
      <c r="I12" s="47">
        <f t="shared" si="0"/>
        <v>35246</v>
      </c>
      <c r="J12" s="46" t="s">
        <v>25</v>
      </c>
      <c r="K12" s="46" t="s">
        <v>41</v>
      </c>
      <c r="L12" s="46" t="s">
        <v>49</v>
      </c>
      <c r="M12" s="43"/>
      <c r="P12" s="5"/>
    </row>
    <row r="13" ht="93.95" customHeight="1" spans="1:16">
      <c r="A13" s="305" t="s">
        <v>50</v>
      </c>
      <c r="B13" s="54" t="s">
        <v>51</v>
      </c>
      <c r="C13" s="54"/>
      <c r="D13" s="54"/>
      <c r="E13" s="44"/>
      <c r="F13" s="288"/>
      <c r="G13" s="44"/>
      <c r="H13" s="32"/>
      <c r="I13" s="47">
        <f t="shared" si="0"/>
        <v>0</v>
      </c>
      <c r="J13" s="46"/>
      <c r="K13" s="46"/>
      <c r="L13" s="46"/>
      <c r="M13" s="46"/>
    </row>
    <row r="14" ht="117.95" customHeight="1" spans="1:16">
      <c r="A14" s="305" t="s">
        <v>52</v>
      </c>
      <c r="B14" s="54" t="s">
        <v>53</v>
      </c>
      <c r="C14" s="54" t="s">
        <v>39</v>
      </c>
      <c r="D14" s="54">
        <v>32690.4</v>
      </c>
      <c r="E14" s="44">
        <v>628.21</v>
      </c>
      <c r="F14" s="288">
        <v>196.5</v>
      </c>
      <c r="G14" s="44">
        <v>0.98</v>
      </c>
      <c r="H14" s="291">
        <f t="shared" ref="H14:H18" si="2">ROUND(F14*G14,2)</f>
        <v>192.57</v>
      </c>
      <c r="I14" s="291">
        <f t="shared" si="0"/>
        <v>6295190</v>
      </c>
      <c r="J14" s="46" t="s">
        <v>54</v>
      </c>
      <c r="K14" s="46" t="s">
        <v>41</v>
      </c>
      <c r="L14" s="306" t="s">
        <v>55</v>
      </c>
      <c r="M14" s="43"/>
    </row>
    <row r="15" ht="71.25" customHeight="1" spans="1:16">
      <c r="A15" s="54" t="s">
        <v>56</v>
      </c>
      <c r="B15" s="54" t="s">
        <v>57</v>
      </c>
      <c r="C15" s="54"/>
      <c r="D15" s="54"/>
      <c r="E15" s="44"/>
      <c r="F15" s="288"/>
      <c r="G15" s="44"/>
      <c r="H15" s="32"/>
      <c r="I15" s="47">
        <f t="shared" si="0"/>
        <v>0</v>
      </c>
      <c r="J15" s="46"/>
      <c r="K15" s="46"/>
      <c r="L15" s="46"/>
      <c r="M15" s="43"/>
    </row>
    <row r="16" ht="93.95" customHeight="1" spans="1:16">
      <c r="A16" s="305" t="s">
        <v>58</v>
      </c>
      <c r="B16" s="54" t="s">
        <v>59</v>
      </c>
      <c r="C16" s="54" t="s">
        <v>39</v>
      </c>
      <c r="D16" s="54">
        <v>7718.5</v>
      </c>
      <c r="E16" s="44">
        <v>921.21</v>
      </c>
      <c r="F16" s="288">
        <v>207.15</v>
      </c>
      <c r="G16" s="44">
        <v>0.98</v>
      </c>
      <c r="H16" s="291">
        <f t="shared" si="2"/>
        <v>203.01</v>
      </c>
      <c r="I16" s="47">
        <f t="shared" si="0"/>
        <v>1566933</v>
      </c>
      <c r="J16" s="46" t="s">
        <v>60</v>
      </c>
      <c r="K16" s="46" t="s">
        <v>41</v>
      </c>
      <c r="L16" s="46" t="s">
        <v>61</v>
      </c>
      <c r="M16" s="43"/>
    </row>
    <row r="17" ht="88.5" customHeight="1" spans="1:16">
      <c r="A17" s="305" t="s">
        <v>62</v>
      </c>
      <c r="B17" s="54" t="s">
        <v>63</v>
      </c>
      <c r="C17" s="54"/>
      <c r="D17" s="54"/>
      <c r="E17" s="44"/>
      <c r="F17" s="288"/>
      <c r="G17" s="44"/>
      <c r="H17" s="32"/>
      <c r="I17" s="47">
        <f t="shared" si="0"/>
        <v>0</v>
      </c>
      <c r="J17" s="46"/>
      <c r="K17" s="46"/>
      <c r="L17" s="46"/>
      <c r="M17" s="43"/>
    </row>
    <row r="18" s="5" customFormat="1" ht="114.95" customHeight="1" spans="1:16">
      <c r="A18" s="305" t="s">
        <v>64</v>
      </c>
      <c r="B18" s="54" t="s">
        <v>65</v>
      </c>
      <c r="C18" s="54" t="s">
        <v>39</v>
      </c>
      <c r="D18" s="44">
        <v>2280.5</v>
      </c>
      <c r="E18" s="94">
        <v>2238.51</v>
      </c>
      <c r="F18" s="288">
        <v>161.83</v>
      </c>
      <c r="G18" s="44">
        <v>0.98</v>
      </c>
      <c r="H18" s="291">
        <f t="shared" si="2"/>
        <v>158.59</v>
      </c>
      <c r="I18" s="291">
        <f t="shared" si="0"/>
        <v>361664</v>
      </c>
      <c r="J18" s="46" t="s">
        <v>66</v>
      </c>
      <c r="K18" s="46" t="s">
        <v>41</v>
      </c>
      <c r="L18" s="46" t="s">
        <v>67</v>
      </c>
      <c r="M18" s="43"/>
      <c r="O18" s="134"/>
    </row>
    <row r="19" s="5" customFormat="1" ht="77.25" customHeight="1" spans="1:16">
      <c r="A19" s="305" t="s">
        <v>68</v>
      </c>
      <c r="B19" s="54" t="s">
        <v>69</v>
      </c>
      <c r="C19" s="44"/>
      <c r="D19" s="44"/>
      <c r="E19" s="52"/>
      <c r="F19" s="288"/>
      <c r="G19" s="52"/>
      <c r="H19" s="32"/>
      <c r="I19" s="47">
        <f t="shared" si="0"/>
        <v>0</v>
      </c>
      <c r="J19" s="46"/>
      <c r="K19" s="46"/>
      <c r="L19" s="46"/>
      <c r="M19" s="43"/>
      <c r="O19" s="134"/>
    </row>
    <row r="20" s="5" customFormat="1" ht="177" customHeight="1" spans="1:16">
      <c r="A20" s="305" t="s">
        <v>37</v>
      </c>
      <c r="B20" s="54" t="s">
        <v>70</v>
      </c>
      <c r="C20" s="44" t="s">
        <v>39</v>
      </c>
      <c r="D20" s="44">
        <v>1197</v>
      </c>
      <c r="E20" s="52">
        <v>388.8</v>
      </c>
      <c r="F20" s="288">
        <v>225.32</v>
      </c>
      <c r="G20" s="44">
        <v>0.98</v>
      </c>
      <c r="H20" s="291">
        <f t="shared" ref="H20:H28" si="3">ROUND(F20*G20,2)</f>
        <v>220.81</v>
      </c>
      <c r="I20" s="88">
        <f t="shared" si="0"/>
        <v>264310</v>
      </c>
      <c r="J20" s="46" t="s">
        <v>40</v>
      </c>
      <c r="K20" s="46" t="s">
        <v>41</v>
      </c>
      <c r="L20" s="46" t="s">
        <v>71</v>
      </c>
      <c r="M20" s="46"/>
      <c r="O20" s="134"/>
    </row>
    <row r="21" ht="47.1" customHeight="1" spans="1:16">
      <c r="A21" s="305" t="s">
        <v>72</v>
      </c>
      <c r="B21" s="54" t="s">
        <v>73</v>
      </c>
      <c r="C21" s="54"/>
      <c r="D21" s="54"/>
      <c r="E21" s="44"/>
      <c r="F21" s="288"/>
      <c r="G21" s="44"/>
      <c r="H21" s="32"/>
      <c r="I21" s="291">
        <f t="shared" si="0"/>
        <v>0</v>
      </c>
      <c r="J21" s="43"/>
      <c r="K21" s="46"/>
      <c r="L21" s="46"/>
      <c r="M21" s="43"/>
    </row>
    <row r="22" ht="132" customHeight="1" spans="1:16">
      <c r="A22" s="54" t="s">
        <v>50</v>
      </c>
      <c r="B22" s="54" t="s">
        <v>74</v>
      </c>
      <c r="C22" s="54" t="s">
        <v>39</v>
      </c>
      <c r="D22" s="54">
        <v>1157.4</v>
      </c>
      <c r="E22" s="44">
        <v>693.56</v>
      </c>
      <c r="F22" s="288">
        <v>239.53</v>
      </c>
      <c r="G22" s="44">
        <v>0.98</v>
      </c>
      <c r="H22" s="291">
        <f t="shared" si="3"/>
        <v>234.74</v>
      </c>
      <c r="I22" s="291">
        <f t="shared" si="0"/>
        <v>271688</v>
      </c>
      <c r="J22" s="46" t="s">
        <v>75</v>
      </c>
      <c r="K22" s="46" t="s">
        <v>41</v>
      </c>
      <c r="L22" s="46" t="s">
        <v>55</v>
      </c>
      <c r="M22" s="43"/>
    </row>
    <row r="23" ht="69.95" customHeight="1" spans="1:16">
      <c r="A23" s="305" t="s">
        <v>76</v>
      </c>
      <c r="B23" s="54" t="s">
        <v>77</v>
      </c>
      <c r="C23" s="54"/>
      <c r="D23" s="44"/>
      <c r="E23" s="44"/>
      <c r="F23" s="288"/>
      <c r="G23" s="44"/>
      <c r="H23" s="32"/>
      <c r="I23" s="47">
        <f t="shared" si="0"/>
        <v>0</v>
      </c>
      <c r="J23" s="46"/>
      <c r="K23" s="46"/>
      <c r="L23" s="46"/>
      <c r="M23" s="43"/>
    </row>
    <row r="24" ht="186" customHeight="1" spans="1:16">
      <c r="A24" s="305" t="s">
        <v>78</v>
      </c>
      <c r="B24" s="54" t="s">
        <v>79</v>
      </c>
      <c r="C24" s="54" t="s">
        <v>39</v>
      </c>
      <c r="D24" s="44">
        <v>331.3</v>
      </c>
      <c r="E24" s="44">
        <v>370.25</v>
      </c>
      <c r="F24" s="288">
        <v>209.35</v>
      </c>
      <c r="G24" s="44">
        <v>0.98</v>
      </c>
      <c r="H24" s="291">
        <f t="shared" si="3"/>
        <v>205.16</v>
      </c>
      <c r="I24" s="47">
        <f t="shared" si="0"/>
        <v>67970</v>
      </c>
      <c r="J24" s="46" t="s">
        <v>40</v>
      </c>
      <c r="K24" s="46" t="s">
        <v>41</v>
      </c>
      <c r="L24" s="46" t="s">
        <v>71</v>
      </c>
      <c r="M24" s="46"/>
    </row>
    <row r="25" s="267" customFormat="1" ht="132" customHeight="1" spans="1:16">
      <c r="A25" s="305" t="s">
        <v>52</v>
      </c>
      <c r="B25" s="54" t="s">
        <v>80</v>
      </c>
      <c r="C25" s="54" t="s">
        <v>39</v>
      </c>
      <c r="D25" s="44">
        <f>4772.6+84.3+39.1</f>
        <v>4896</v>
      </c>
      <c r="E25" s="94">
        <v>656.85</v>
      </c>
      <c r="F25" s="288">
        <v>226.26</v>
      </c>
      <c r="G25" s="44">
        <v>0.98</v>
      </c>
      <c r="H25" s="291">
        <f t="shared" si="3"/>
        <v>221.73</v>
      </c>
      <c r="I25" s="47">
        <f t="shared" si="0"/>
        <v>1085590</v>
      </c>
      <c r="J25" s="46" t="s">
        <v>54</v>
      </c>
      <c r="K25" s="46" t="s">
        <v>41</v>
      </c>
      <c r="L25" s="46" t="s">
        <v>81</v>
      </c>
      <c r="M25" s="43"/>
      <c r="O25" s="307"/>
    </row>
    <row r="26" ht="135" customHeight="1" spans="1:16">
      <c r="A26" s="54" t="s">
        <v>56</v>
      </c>
      <c r="B26" s="54" t="s">
        <v>57</v>
      </c>
      <c r="C26" s="54" t="s">
        <v>39</v>
      </c>
      <c r="D26" s="44">
        <v>71</v>
      </c>
      <c r="E26" s="44">
        <v>1000.37</v>
      </c>
      <c r="F26" s="288">
        <v>172.41</v>
      </c>
      <c r="G26" s="44">
        <v>0.98</v>
      </c>
      <c r="H26" s="291">
        <f t="shared" si="3"/>
        <v>168.96</v>
      </c>
      <c r="I26" s="47">
        <f t="shared" si="0"/>
        <v>11996</v>
      </c>
      <c r="J26" s="46" t="s">
        <v>82</v>
      </c>
      <c r="K26" s="46" t="s">
        <v>41</v>
      </c>
      <c r="L26" s="308" t="s">
        <v>61</v>
      </c>
      <c r="M26" s="46"/>
    </row>
    <row r="27" ht="183.95" customHeight="1" spans="1:16">
      <c r="A27" s="305" t="s">
        <v>83</v>
      </c>
      <c r="B27" s="54" t="s">
        <v>84</v>
      </c>
      <c r="C27" s="54" t="s">
        <v>85</v>
      </c>
      <c r="D27" s="44">
        <f>120+35084</f>
        <v>35204</v>
      </c>
      <c r="E27" s="44">
        <v>78.79</v>
      </c>
      <c r="F27" s="288">
        <v>9.51</v>
      </c>
      <c r="G27" s="44">
        <v>0.98</v>
      </c>
      <c r="H27" s="291">
        <f t="shared" si="3"/>
        <v>9.32</v>
      </c>
      <c r="I27" s="47">
        <f t="shared" ref="I27:I31" si="4">ROUND(D27*H27,0)</f>
        <v>328101</v>
      </c>
      <c r="J27" s="46" t="s">
        <v>86</v>
      </c>
      <c r="K27" s="46" t="s">
        <v>41</v>
      </c>
      <c r="L27" s="308" t="s">
        <v>87</v>
      </c>
      <c r="M27" s="46"/>
    </row>
    <row r="28" ht="146.1" customHeight="1" spans="1:16">
      <c r="A28" s="305" t="s">
        <v>88</v>
      </c>
      <c r="B28" s="54" t="s">
        <v>89</v>
      </c>
      <c r="C28" s="54" t="s">
        <v>39</v>
      </c>
      <c r="D28" s="54">
        <f>34458+3209</f>
        <v>37667</v>
      </c>
      <c r="E28" s="44">
        <v>141.56</v>
      </c>
      <c r="F28" s="288">
        <v>15.09</v>
      </c>
      <c r="G28" s="44">
        <v>0.98</v>
      </c>
      <c r="H28" s="291">
        <f t="shared" si="3"/>
        <v>14.79</v>
      </c>
      <c r="I28" s="291">
        <f t="shared" si="4"/>
        <v>557095</v>
      </c>
      <c r="J28" s="46" t="s">
        <v>90</v>
      </c>
      <c r="K28" s="46" t="s">
        <v>41</v>
      </c>
      <c r="L28" s="46" t="s">
        <v>91</v>
      </c>
      <c r="M28" s="43"/>
    </row>
    <row r="29" ht="101.1" customHeight="1" spans="1:16">
      <c r="A29" s="305" t="s">
        <v>92</v>
      </c>
      <c r="B29" s="54" t="s">
        <v>93</v>
      </c>
      <c r="C29" s="54"/>
      <c r="D29" s="54"/>
      <c r="E29" s="44"/>
      <c r="F29" s="288"/>
      <c r="G29" s="44"/>
      <c r="H29" s="32"/>
      <c r="I29" s="47">
        <f t="shared" si="4"/>
        <v>0</v>
      </c>
      <c r="J29" s="46"/>
      <c r="K29" s="46"/>
      <c r="L29" s="46"/>
      <c r="M29" s="43"/>
    </row>
    <row r="30" ht="138" customHeight="1" spans="1:16">
      <c r="A30" s="54" t="s">
        <v>94</v>
      </c>
      <c r="B30" s="54" t="s">
        <v>95</v>
      </c>
      <c r="C30" s="54" t="s">
        <v>85</v>
      </c>
      <c r="D30" s="54">
        <v>1800</v>
      </c>
      <c r="E30" s="44">
        <v>218.26</v>
      </c>
      <c r="F30" s="288">
        <v>25.81</v>
      </c>
      <c r="G30" s="44">
        <v>0.98</v>
      </c>
      <c r="H30" s="291">
        <f t="shared" ref="H30:H37" si="5">ROUND(F30*G30,2)</f>
        <v>25.29</v>
      </c>
      <c r="I30" s="291">
        <f t="shared" si="4"/>
        <v>45522</v>
      </c>
      <c r="J30" s="46" t="s">
        <v>96</v>
      </c>
      <c r="K30" s="46" t="s">
        <v>41</v>
      </c>
      <c r="L30" s="46" t="s">
        <v>97</v>
      </c>
      <c r="M30" s="43"/>
    </row>
    <row r="31" ht="146.1" customHeight="1" spans="1:16">
      <c r="A31" s="305" t="s">
        <v>98</v>
      </c>
      <c r="B31" s="54" t="s">
        <v>99</v>
      </c>
      <c r="C31" s="54" t="s">
        <v>85</v>
      </c>
      <c r="D31" s="54">
        <v>280</v>
      </c>
      <c r="E31" s="44">
        <v>385.88</v>
      </c>
      <c r="F31" s="288">
        <v>36.13</v>
      </c>
      <c r="G31" s="44">
        <v>0.98</v>
      </c>
      <c r="H31" s="291">
        <f t="shared" si="5"/>
        <v>35.41</v>
      </c>
      <c r="I31" s="291">
        <f t="shared" si="4"/>
        <v>9915</v>
      </c>
      <c r="J31" s="46" t="s">
        <v>96</v>
      </c>
      <c r="K31" s="46" t="s">
        <v>41</v>
      </c>
      <c r="L31" s="46" t="s">
        <v>97</v>
      </c>
      <c r="M31" s="43"/>
    </row>
    <row r="32" customFormat="1" ht="80.1" customHeight="1" spans="1:16">
      <c r="A32" s="305" t="s">
        <v>100</v>
      </c>
      <c r="B32" s="46" t="s">
        <v>101</v>
      </c>
      <c r="C32" s="46"/>
      <c r="D32" s="54"/>
      <c r="E32" s="44"/>
      <c r="F32" s="288"/>
      <c r="G32" s="44"/>
      <c r="H32" s="291"/>
      <c r="I32" s="291"/>
      <c r="J32" s="46"/>
      <c r="K32" s="46"/>
      <c r="L32" s="46"/>
      <c r="M32" s="43"/>
      <c r="N32" s="2"/>
      <c r="O32" s="270"/>
      <c r="P32" s="2"/>
    </row>
    <row r="33" customFormat="1" ht="146.1" customHeight="1" spans="1:16">
      <c r="A33" s="305" t="s">
        <v>102</v>
      </c>
      <c r="B33" s="54" t="s">
        <v>93</v>
      </c>
      <c r="C33" s="54" t="s">
        <v>85</v>
      </c>
      <c r="D33" s="54">
        <f>10627.5+79.5</f>
        <v>10707</v>
      </c>
      <c r="E33" s="44">
        <v>100.98</v>
      </c>
      <c r="F33" s="288">
        <v>16.2</v>
      </c>
      <c r="G33" s="44">
        <v>0.98</v>
      </c>
      <c r="H33" s="291">
        <f t="shared" si="5"/>
        <v>15.88</v>
      </c>
      <c r="I33" s="291">
        <f>ROUND(D33*H33,0)</f>
        <v>170027</v>
      </c>
      <c r="J33" s="46" t="s">
        <v>103</v>
      </c>
      <c r="K33" s="46" t="s">
        <v>41</v>
      </c>
      <c r="L33" s="46" t="s">
        <v>104</v>
      </c>
      <c r="M33" s="43"/>
      <c r="N33" s="2"/>
      <c r="O33" s="270"/>
      <c r="P33" s="2"/>
    </row>
    <row r="34" customFormat="1" ht="135.95" customHeight="1" spans="1:16">
      <c r="A34" s="305" t="s">
        <v>105</v>
      </c>
      <c r="B34" s="54" t="s">
        <v>106</v>
      </c>
      <c r="C34" s="54" t="s">
        <v>85</v>
      </c>
      <c r="D34" s="54">
        <f>310+270+260+122+42+300+280+300+220+460+10+370+569+380+3300</f>
        <v>7193</v>
      </c>
      <c r="E34" s="44">
        <v>315.76</v>
      </c>
      <c r="F34" s="288">
        <v>46.25</v>
      </c>
      <c r="G34" s="44">
        <v>0.98</v>
      </c>
      <c r="H34" s="291">
        <f t="shared" si="5"/>
        <v>45.33</v>
      </c>
      <c r="I34" s="291">
        <f>ROUND(D34*H34,0)</f>
        <v>326059</v>
      </c>
      <c r="J34" s="46" t="s">
        <v>107</v>
      </c>
      <c r="K34" s="46" t="s">
        <v>41</v>
      </c>
      <c r="L34" s="46" t="s">
        <v>108</v>
      </c>
      <c r="M34" s="43"/>
      <c r="N34" s="2"/>
      <c r="O34" s="270"/>
      <c r="P34" s="2"/>
    </row>
    <row r="35" customFormat="1" ht="146.1" customHeight="1" spans="1:16">
      <c r="A35" s="305" t="s">
        <v>109</v>
      </c>
      <c r="B35" s="54" t="s">
        <v>110</v>
      </c>
      <c r="C35" s="54" t="s">
        <v>111</v>
      </c>
      <c r="D35" s="54">
        <f>654+67</f>
        <v>721</v>
      </c>
      <c r="E35" s="44">
        <v>2218.55</v>
      </c>
      <c r="F35" s="288">
        <v>865.75</v>
      </c>
      <c r="G35" s="44">
        <v>0.98</v>
      </c>
      <c r="H35" s="291">
        <f t="shared" si="5"/>
        <v>848.44</v>
      </c>
      <c r="I35" s="291">
        <f>ROUND(D35*H35,0)</f>
        <v>611725</v>
      </c>
      <c r="J35" s="46" t="s">
        <v>112</v>
      </c>
      <c r="K35" s="46" t="s">
        <v>41</v>
      </c>
      <c r="L35" s="46" t="s">
        <v>113</v>
      </c>
      <c r="M35" s="43"/>
      <c r="N35" s="2"/>
      <c r="O35" s="270"/>
      <c r="P35" s="2"/>
    </row>
    <row r="36" customFormat="1" ht="146.1" customHeight="1" spans="1:16">
      <c r="A36" s="305" t="s">
        <v>114</v>
      </c>
      <c r="B36" s="54" t="s">
        <v>115</v>
      </c>
      <c r="C36" s="54" t="s">
        <v>85</v>
      </c>
      <c r="D36" s="54">
        <v>39171</v>
      </c>
      <c r="E36" s="44">
        <v>143.74</v>
      </c>
      <c r="F36" s="288">
        <v>65.67</v>
      </c>
      <c r="G36" s="44">
        <v>0.98</v>
      </c>
      <c r="H36" s="291">
        <f t="shared" si="5"/>
        <v>64.36</v>
      </c>
      <c r="I36" s="291">
        <f>ROUND(D36*H36,0)</f>
        <v>2521046</v>
      </c>
      <c r="J36" s="46" t="s">
        <v>116</v>
      </c>
      <c r="K36" s="46" t="s">
        <v>41</v>
      </c>
      <c r="L36" s="46" t="s">
        <v>117</v>
      </c>
      <c r="M36" s="43"/>
      <c r="N36" s="2"/>
      <c r="O36" s="270"/>
      <c r="P36" s="2"/>
    </row>
    <row r="37" customFormat="1" ht="146.1" customHeight="1" spans="1:16">
      <c r="A37" s="305" t="s">
        <v>118</v>
      </c>
      <c r="B37" s="54" t="s">
        <v>119</v>
      </c>
      <c r="C37" s="54" t="s">
        <v>111</v>
      </c>
      <c r="D37" s="54">
        <v>2</v>
      </c>
      <c r="E37" s="44">
        <v>12434.67</v>
      </c>
      <c r="F37" s="288">
        <v>1909.27</v>
      </c>
      <c r="G37" s="44">
        <v>0.98</v>
      </c>
      <c r="H37" s="291">
        <f t="shared" si="5"/>
        <v>1871.08</v>
      </c>
      <c r="I37" s="291">
        <f>ROUND(D37*H37,0)</f>
        <v>3742</v>
      </c>
      <c r="J37" s="46" t="s">
        <v>120</v>
      </c>
      <c r="K37" s="46" t="s">
        <v>41</v>
      </c>
      <c r="L37" s="46" t="s">
        <v>121</v>
      </c>
      <c r="M37" s="43"/>
      <c r="N37" s="2"/>
      <c r="O37" s="270"/>
      <c r="P37" s="2"/>
    </row>
    <row r="38" ht="47.1" customHeight="1" spans="1:16">
      <c r="A38" s="135" t="s">
        <v>122</v>
      </c>
      <c r="B38" s="136"/>
      <c r="C38" s="136"/>
      <c r="D38" s="309"/>
      <c r="E38" s="107"/>
      <c r="F38" s="310"/>
      <c r="G38" s="107"/>
      <c r="H38" s="108"/>
      <c r="I38" s="109">
        <f>SUM(I6:I37)</f>
        <v>16660408</v>
      </c>
      <c r="J38" s="309"/>
      <c r="K38" s="110"/>
      <c r="L38" s="311"/>
      <c r="M38" s="309"/>
      <c r="N38" s="312">
        <v>95055461.222</v>
      </c>
      <c r="P38" s="313" t="e">
        <f>1-I38/#REF!</f>
        <v>#REF!</v>
      </c>
    </row>
    <row r="39" s="5" customFormat="1" ht="141" customHeight="1" spans="1:16">
      <c r="A39" s="111" t="s">
        <v>123</v>
      </c>
      <c r="B39" s="314"/>
      <c r="C39" s="314"/>
      <c r="D39" s="314"/>
      <c r="E39" s="111"/>
      <c r="F39" s="315"/>
      <c r="G39" s="111"/>
      <c r="H39" s="111"/>
      <c r="I39" s="111"/>
      <c r="J39" s="111"/>
      <c r="K39" s="111"/>
      <c r="L39" s="111"/>
      <c r="M39" s="111"/>
      <c r="O39" s="134"/>
    </row>
    <row r="40" s="5" customFormat="1" ht="30" customHeight="1" spans="1:16">
      <c r="A40" s="113" t="s">
        <v>124</v>
      </c>
      <c r="B40" s="316"/>
      <c r="C40" s="316"/>
      <c r="D40" s="316"/>
      <c r="E40" s="113"/>
      <c r="F40" s="317"/>
      <c r="G40" s="113"/>
      <c r="H40" s="113"/>
      <c r="I40" s="113"/>
      <c r="J40" s="113"/>
      <c r="K40" s="113"/>
      <c r="L40" s="113"/>
      <c r="M40" s="113"/>
      <c r="O40" s="134"/>
    </row>
    <row r="41" s="5" customFormat="1" ht="30" customHeight="1" spans="1:16">
      <c r="A41" s="113" t="s">
        <v>125</v>
      </c>
      <c r="B41" s="316"/>
      <c r="C41" s="316"/>
      <c r="D41" s="316"/>
      <c r="E41" s="113"/>
      <c r="F41" s="317"/>
      <c r="G41" s="113"/>
      <c r="H41" s="113"/>
      <c r="I41" s="113"/>
      <c r="J41" s="113"/>
      <c r="K41" s="113"/>
      <c r="L41" s="113"/>
      <c r="M41" s="113"/>
      <c r="O41" s="134"/>
    </row>
    <row r="42" s="5" customFormat="1" ht="30" customHeight="1" spans="1:16">
      <c r="A42" s="113" t="s">
        <v>126</v>
      </c>
      <c r="B42" s="316"/>
      <c r="C42" s="316"/>
      <c r="D42" s="316"/>
      <c r="E42" s="113"/>
      <c r="F42" s="317"/>
      <c r="G42" s="113"/>
      <c r="H42" s="113"/>
      <c r="I42" s="113"/>
      <c r="J42" s="113"/>
      <c r="K42" s="113"/>
      <c r="L42" s="113"/>
      <c r="M42" s="113"/>
      <c r="O42" s="134"/>
    </row>
    <row r="43" s="5" customFormat="1" ht="30" customHeight="1" spans="1:16">
      <c r="A43" s="113" t="s">
        <v>127</v>
      </c>
      <c r="B43" s="316"/>
      <c r="C43" s="316"/>
      <c r="D43" s="316"/>
      <c r="E43" s="113"/>
      <c r="F43" s="317"/>
      <c r="G43" s="113"/>
      <c r="H43" s="113"/>
      <c r="I43" s="113"/>
      <c r="J43" s="113"/>
      <c r="K43" s="113"/>
      <c r="L43" s="113"/>
      <c r="M43" s="113"/>
      <c r="O43" s="134"/>
    </row>
    <row r="44" s="5" customFormat="1" ht="76.5" customHeight="1" spans="1:16">
      <c r="A44" s="113" t="s">
        <v>128</v>
      </c>
      <c r="B44" s="316"/>
      <c r="C44" s="316"/>
      <c r="D44" s="316"/>
      <c r="E44" s="113"/>
      <c r="F44" s="317"/>
      <c r="G44" s="113"/>
      <c r="H44" s="113"/>
      <c r="I44" s="113"/>
      <c r="J44" s="113"/>
      <c r="K44" s="113"/>
      <c r="L44" s="113"/>
      <c r="M44" s="113"/>
      <c r="O44" s="134"/>
    </row>
    <row r="45" s="5" customFormat="1" ht="54.75" customHeight="1" spans="1:16">
      <c r="A45" s="113" t="s">
        <v>129</v>
      </c>
      <c r="B45" s="316"/>
      <c r="C45" s="316"/>
      <c r="D45" s="316"/>
      <c r="E45" s="113"/>
      <c r="F45" s="317"/>
      <c r="G45" s="113"/>
      <c r="H45" s="113"/>
      <c r="I45" s="113"/>
      <c r="J45" s="113"/>
      <c r="K45" s="113"/>
      <c r="L45" s="113"/>
      <c r="M45" s="113"/>
      <c r="O45" s="134"/>
    </row>
    <row r="46" s="5" customFormat="1" ht="30" customHeight="1" spans="1:16">
      <c r="A46" s="113" t="s">
        <v>130</v>
      </c>
      <c r="B46" s="316"/>
      <c r="C46" s="316"/>
      <c r="D46" s="316"/>
      <c r="E46" s="113"/>
      <c r="F46" s="317"/>
      <c r="G46" s="113"/>
      <c r="H46" s="113"/>
      <c r="I46" s="113"/>
      <c r="J46" s="113"/>
      <c r="K46" s="113"/>
      <c r="L46" s="113"/>
      <c r="M46" s="113"/>
      <c r="O46" s="134"/>
    </row>
    <row r="47" s="5" customFormat="1" ht="30" customHeight="1" spans="1:16">
      <c r="A47" s="113" t="s">
        <v>131</v>
      </c>
      <c r="B47" s="113"/>
      <c r="C47" s="316"/>
      <c r="D47" s="113"/>
      <c r="E47" s="113"/>
      <c r="F47" s="317"/>
      <c r="G47" s="113"/>
      <c r="H47" s="113"/>
      <c r="I47" s="113"/>
      <c r="J47" s="113"/>
      <c r="K47" s="113"/>
      <c r="L47" s="113"/>
      <c r="M47" s="113"/>
      <c r="O47" s="134"/>
    </row>
    <row r="48" s="5" customFormat="1" ht="30" customHeight="1" spans="1:16">
      <c r="A48" s="113" t="s">
        <v>132</v>
      </c>
      <c r="B48" s="113"/>
      <c r="C48" s="316"/>
      <c r="D48" s="113"/>
      <c r="E48" s="113"/>
      <c r="F48" s="317"/>
      <c r="G48" s="113"/>
      <c r="H48" s="113"/>
      <c r="I48" s="113"/>
      <c r="J48" s="113"/>
      <c r="K48" s="113"/>
      <c r="L48" s="113"/>
      <c r="M48" s="113"/>
      <c r="O48" s="134"/>
    </row>
    <row r="49" ht="30" customHeight="1" spans="1:13">
      <c r="A49" s="113"/>
      <c r="B49" s="113"/>
      <c r="C49" s="316"/>
      <c r="D49" s="113"/>
      <c r="E49" s="113"/>
      <c r="F49" s="317"/>
      <c r="G49" s="113"/>
      <c r="H49" s="113"/>
      <c r="I49" s="113"/>
      <c r="J49" s="113"/>
      <c r="K49" s="113"/>
      <c r="L49" s="113"/>
      <c r="M49" s="113"/>
    </row>
    <row r="50" ht="30" customHeight="1" spans="1:13">
      <c r="A50" s="113"/>
      <c r="B50" s="316"/>
      <c r="C50" s="316"/>
      <c r="D50" s="316"/>
      <c r="E50" s="113"/>
      <c r="F50" s="317"/>
      <c r="G50" s="113"/>
      <c r="H50" s="113"/>
      <c r="I50" s="113"/>
      <c r="J50" s="113"/>
      <c r="K50" s="113"/>
      <c r="L50" s="113"/>
      <c r="M50" s="113"/>
    </row>
  </sheetData>
  <autoFilter xmlns:etc="http://www.wps.cn/officeDocument/2017/etCustomData" ref="K1:K50" etc:filterBottomFollowUsedRange="0">
    <extLst/>
  </autoFilter>
  <mergeCells count="28">
    <mergeCell ref="A1:M1"/>
    <mergeCell ref="H2:I2"/>
    <mergeCell ref="A5:B5"/>
    <mergeCell ref="A38:C38"/>
    <mergeCell ref="A39:M39"/>
    <mergeCell ref="A40:M40"/>
    <mergeCell ref="A41:M41"/>
    <mergeCell ref="A42:M42"/>
    <mergeCell ref="A43:M43"/>
    <mergeCell ref="A44:M44"/>
    <mergeCell ref="A45:M45"/>
    <mergeCell ref="A46:M46"/>
    <mergeCell ref="A47:M47"/>
    <mergeCell ref="A48:M48"/>
    <mergeCell ref="A49:M49"/>
    <mergeCell ref="A50:M50"/>
    <mergeCell ref="A2:A4"/>
    <mergeCell ref="B2:B4"/>
    <mergeCell ref="C2:C4"/>
    <mergeCell ref="D2:D4"/>
    <mergeCell ref="E2:E4"/>
    <mergeCell ref="F3:F4"/>
    <mergeCell ref="H3:H4"/>
    <mergeCell ref="I3:I4"/>
    <mergeCell ref="J2:J5"/>
    <mergeCell ref="K2:K5"/>
    <mergeCell ref="L2:L5"/>
    <mergeCell ref="M2:M5"/>
  </mergeCells>
  <conditionalFormatting sqref="F1">
    <cfRule type="cellIs" dxfId="0" priority="51" stopIfTrue="1" operator="lessThan">
      <formula>0</formula>
    </cfRule>
  </conditionalFormatting>
  <conditionalFormatting sqref="H14">
    <cfRule type="cellIs" dxfId="0" priority="26" stopIfTrue="1" operator="lessThan">
      <formula>0</formula>
    </cfRule>
  </conditionalFormatting>
  <conditionalFormatting sqref="H16">
    <cfRule type="cellIs" dxfId="0" priority="25" stopIfTrue="1" operator="lessThan">
      <formula>0</formula>
    </cfRule>
  </conditionalFormatting>
  <conditionalFormatting sqref="H18">
    <cfRule type="cellIs" dxfId="0" priority="24" stopIfTrue="1" operator="lessThan">
      <formula>0</formula>
    </cfRule>
  </conditionalFormatting>
  <conditionalFormatting sqref="H20">
    <cfRule type="cellIs" dxfId="0" priority="23" stopIfTrue="1" operator="lessThan">
      <formula>0</formula>
    </cfRule>
  </conditionalFormatting>
  <conditionalFormatting sqref="I21">
    <cfRule type="cellIs" dxfId="0" priority="79" stopIfTrue="1" operator="lessThan">
      <formula>0</formula>
    </cfRule>
  </conditionalFormatting>
  <conditionalFormatting sqref="H22">
    <cfRule type="cellIs" dxfId="0" priority="22" stopIfTrue="1" operator="lessThan">
      <formula>0</formula>
    </cfRule>
  </conditionalFormatting>
  <conditionalFormatting sqref="I22">
    <cfRule type="cellIs" dxfId="0" priority="78" stopIfTrue="1" operator="lessThan">
      <formula>0</formula>
    </cfRule>
  </conditionalFormatting>
  <conditionalFormatting sqref="H24">
    <cfRule type="cellIs" dxfId="0" priority="21" stopIfTrue="1" operator="lessThan">
      <formula>0</formula>
    </cfRule>
  </conditionalFormatting>
  <conditionalFormatting sqref="H25">
    <cfRule type="cellIs" dxfId="0" priority="20" stopIfTrue="1" operator="lessThan">
      <formula>0</formula>
    </cfRule>
  </conditionalFormatting>
  <conditionalFormatting sqref="H26">
    <cfRule type="cellIs" dxfId="0" priority="19" stopIfTrue="1" operator="lessThan">
      <formula>0</formula>
    </cfRule>
  </conditionalFormatting>
  <conditionalFormatting sqref="H27">
    <cfRule type="cellIs" dxfId="0" priority="18" stopIfTrue="1" operator="lessThan">
      <formula>0</formula>
    </cfRule>
  </conditionalFormatting>
  <conditionalFormatting sqref="I27">
    <cfRule type="cellIs" dxfId="0" priority="52" stopIfTrue="1" operator="lessThan">
      <formula>0</formula>
    </cfRule>
  </conditionalFormatting>
  <conditionalFormatting sqref="H28">
    <cfRule type="cellIs" dxfId="0" priority="17" stopIfTrue="1" operator="lessThan">
      <formula>0</formula>
    </cfRule>
  </conditionalFormatting>
  <conditionalFormatting sqref="H30">
    <cfRule type="cellIs" dxfId="0" priority="16" stopIfTrue="1" operator="lessThan">
      <formula>0</formula>
    </cfRule>
  </conditionalFormatting>
  <conditionalFormatting sqref="I30">
    <cfRule type="cellIs" dxfId="0" priority="77" stopIfTrue="1" operator="lessThan">
      <formula>0</formula>
    </cfRule>
  </conditionalFormatting>
  <conditionalFormatting sqref="H10:H12">
    <cfRule type="cellIs" dxfId="0" priority="50" stopIfTrue="1" operator="lessThan">
      <formula>0</formula>
    </cfRule>
  </conditionalFormatting>
  <conditionalFormatting sqref="H31:H32">
    <cfRule type="cellIs" dxfId="0" priority="15" stopIfTrue="1" operator="lessThan">
      <formula>0</formula>
    </cfRule>
  </conditionalFormatting>
  <conditionalFormatting sqref="H33:H37">
    <cfRule type="cellIs" dxfId="0" priority="1" stopIfTrue="1" operator="lessThan">
      <formula>0</formula>
    </cfRule>
  </conditionalFormatting>
  <conditionalFormatting sqref="I33:I37">
    <cfRule type="cellIs" dxfId="0" priority="2" stopIfTrue="1" operator="lessThan">
      <formula>0</formula>
    </cfRule>
  </conditionalFormatting>
  <conditionalFormatting sqref="H1:I1 I6:I13 I28:I29 I15:I19 I31:I32">
    <cfRule type="cellIs" dxfId="0" priority="91" stopIfTrue="1" operator="lessThan">
      <formula>0</formula>
    </cfRule>
  </conditionalFormatting>
  <conditionalFormatting sqref="I14 I23:I26">
    <cfRule type="cellIs" dxfId="0" priority="80" stopIfTrue="1" operator="lessThan">
      <formula>0</formula>
    </cfRule>
  </conditionalFormatting>
  <printOptions horizontalCentered="1"/>
  <pageMargins left="0.196527777777778" right="0.196527777777778" top="0.590277777777778" bottom="0.590277777777778" header="0.314583333333333" footer="0.314583333333333"/>
  <pageSetup paperSize="9" scale="46" fitToHeight="0" orientation="landscape" blackAndWhite="1"/>
  <headerFooter>
    <oddFooter>&amp;C&amp;"宋体,常规"第&amp;"Arial,常规" &amp;P &amp;"宋体,常规"页，共&amp;"Arial,常规" &amp;N &amp;"宋体,常规"页</oddFooter>
  </headerFooter>
  <rowBreaks count="1" manualBreakCount="1">
    <brk id="50"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5"/>
  <sheetViews>
    <sheetView workbookViewId="0">
      <selection activeCell="B23" sqref="B23"/>
    </sheetView>
  </sheetViews>
  <sheetFormatPr defaultColWidth="9.14285714285714" defaultRowHeight="12.75" outlineLevelRow="4" outlineLevelCol="2"/>
  <cols>
    <col min="1" max="1" width="9.42857142857143" style="261" customWidth="1"/>
    <col min="2" max="2" width="122.571428571429" style="261" customWidth="1"/>
    <col min="3" max="3" width="9.42857142857143" style="261" customWidth="1"/>
    <col min="4" max="16384" width="9.14285714285714" style="261"/>
  </cols>
  <sheetData>
    <row r="1" ht="69.95" customHeight="1" spans="1:3">
      <c r="A1" s="262"/>
      <c r="B1" s="262"/>
      <c r="C1" s="262"/>
    </row>
    <row r="2" ht="50.1" customHeight="1" spans="1:3">
      <c r="A2" s="262"/>
      <c r="B2" s="263" t="s">
        <v>133</v>
      </c>
      <c r="C2" s="262"/>
    </row>
    <row r="3" ht="273.95" customHeight="1" spans="1:3">
      <c r="A3" s="262"/>
      <c r="B3" s="264" t="s">
        <v>134</v>
      </c>
      <c r="C3" s="262"/>
    </row>
    <row r="4" ht="159" customHeight="1" spans="1:3">
      <c r="A4" s="262"/>
      <c r="B4" s="264"/>
      <c r="C4" s="262"/>
    </row>
    <row r="5" ht="32.1" customHeight="1" spans="1:3">
      <c r="A5" s="262"/>
      <c r="B5" s="262"/>
      <c r="C5" s="262"/>
    </row>
  </sheetData>
  <pageMargins left="0" right="0" top="0" bottom="0" header="0" footer="0"/>
  <pageSetup paperSize="9" fitToWidth="842" fitToHeight="585"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abSelected="1" view="pageBreakPreview" zoomScaleNormal="100" workbookViewId="0">
      <selection activeCell="J14" sqref="J14"/>
    </sheetView>
  </sheetViews>
  <sheetFormatPr defaultColWidth="10.2857142857143" defaultRowHeight="14.25"/>
  <cols>
    <col min="1" max="1" width="15.8571428571429" style="242" customWidth="1"/>
    <col min="2" max="2" width="18.1428571428571" style="243" customWidth="1"/>
    <col min="3" max="3" width="7.80952380952381" style="242" customWidth="1"/>
    <col min="4" max="4" width="11" style="242" customWidth="1"/>
    <col min="5" max="6" width="12.7142857142857" style="242" customWidth="1"/>
    <col min="7" max="7" width="22.5714285714286" style="243" customWidth="1"/>
    <col min="8" max="8" width="32.5714285714286" style="243" customWidth="1"/>
    <col min="9" max="9" width="48.7142857142857" style="243" customWidth="1"/>
    <col min="10" max="10" width="35" style="243" customWidth="1"/>
    <col min="11" max="16384" width="10.2857142857143" style="241"/>
  </cols>
  <sheetData>
    <row r="1" ht="20.25" spans="1:10">
      <c r="A1" s="244" t="s">
        <v>135</v>
      </c>
      <c r="B1" s="244"/>
      <c r="C1" s="245"/>
      <c r="D1" s="245"/>
      <c r="E1" s="246"/>
      <c r="F1" s="246"/>
      <c r="G1" s="246"/>
      <c r="H1" s="246"/>
      <c r="I1" s="246"/>
      <c r="J1" s="247"/>
    </row>
    <row r="2" ht="55" customHeight="1" spans="1:10">
      <c r="A2" s="247" t="s">
        <v>136</v>
      </c>
      <c r="B2" s="247"/>
      <c r="C2" s="247"/>
      <c r="D2" s="247"/>
      <c r="E2" s="247"/>
      <c r="F2" s="247"/>
      <c r="G2" s="247"/>
      <c r="H2" s="247"/>
      <c r="I2" s="247"/>
      <c r="J2" s="247"/>
    </row>
    <row r="3" ht="30" customHeight="1" spans="1:10">
      <c r="A3" s="248" t="s">
        <v>1</v>
      </c>
      <c r="B3" s="248" t="s">
        <v>2</v>
      </c>
      <c r="C3" s="248" t="s">
        <v>137</v>
      </c>
      <c r="D3" s="248" t="s">
        <v>138</v>
      </c>
      <c r="E3" s="249" t="s">
        <v>139</v>
      </c>
      <c r="F3" s="249"/>
      <c r="G3" s="248" t="s">
        <v>7</v>
      </c>
      <c r="H3" s="248" t="s">
        <v>8</v>
      </c>
      <c r="I3" s="248" t="s">
        <v>140</v>
      </c>
      <c r="J3" s="248" t="s">
        <v>141</v>
      </c>
    </row>
    <row r="4" ht="27" customHeight="1" spans="1:10">
      <c r="A4" s="250"/>
      <c r="B4" s="250"/>
      <c r="C4" s="250"/>
      <c r="D4" s="250"/>
      <c r="E4" s="249" t="s">
        <v>142</v>
      </c>
      <c r="F4" s="249" t="s">
        <v>143</v>
      </c>
      <c r="G4" s="250"/>
      <c r="H4" s="250"/>
      <c r="I4" s="250"/>
      <c r="J4" s="250"/>
    </row>
    <row r="5" spans="1:10">
      <c r="A5" s="251" t="s">
        <v>144</v>
      </c>
      <c r="B5" s="252" t="s">
        <v>145</v>
      </c>
      <c r="C5" s="249" t="s">
        <v>145</v>
      </c>
      <c r="D5" s="249" t="s">
        <v>145</v>
      </c>
      <c r="E5" s="249"/>
      <c r="F5" s="249"/>
      <c r="G5" s="252" t="s">
        <v>145</v>
      </c>
      <c r="H5" s="252" t="s">
        <v>145</v>
      </c>
      <c r="I5" s="252" t="s">
        <v>145</v>
      </c>
      <c r="J5" s="252" t="s">
        <v>145</v>
      </c>
    </row>
    <row r="6" ht="49" customHeight="1" spans="1:10">
      <c r="A6" s="249">
        <v>1</v>
      </c>
      <c r="B6" s="252" t="s">
        <v>146</v>
      </c>
      <c r="C6" s="249" t="s">
        <v>147</v>
      </c>
      <c r="D6" s="249">
        <v>124.38</v>
      </c>
      <c r="E6" s="249">
        <v>371</v>
      </c>
      <c r="F6" s="249">
        <f t="shared" ref="F6:F13" si="0">ROUND(D6*E6,2)</f>
        <v>46144.98</v>
      </c>
      <c r="G6" s="252" t="s">
        <v>148</v>
      </c>
      <c r="H6" s="253" t="s">
        <v>149</v>
      </c>
      <c r="I6" s="252" t="s">
        <v>150</v>
      </c>
      <c r="J6" s="254" t="s">
        <v>151</v>
      </c>
    </row>
    <row r="7" ht="46" customHeight="1" spans="1:10">
      <c r="A7" s="249">
        <v>2</v>
      </c>
      <c r="B7" s="252" t="s">
        <v>152</v>
      </c>
      <c r="C7" s="249" t="s">
        <v>147</v>
      </c>
      <c r="D7" s="249">
        <v>86.4</v>
      </c>
      <c r="E7" s="249">
        <v>290</v>
      </c>
      <c r="F7" s="249">
        <f t="shared" si="0"/>
        <v>25056</v>
      </c>
      <c r="G7" s="252" t="s">
        <v>148</v>
      </c>
      <c r="H7" s="253" t="s">
        <v>149</v>
      </c>
      <c r="I7" s="252" t="s">
        <v>153</v>
      </c>
      <c r="J7" s="254" t="s">
        <v>151</v>
      </c>
    </row>
    <row r="8" ht="44" customHeight="1" spans="1:10">
      <c r="A8" s="249">
        <v>3</v>
      </c>
      <c r="B8" s="252" t="s">
        <v>154</v>
      </c>
      <c r="C8" s="249" t="s">
        <v>147</v>
      </c>
      <c r="D8" s="249">
        <v>32.64</v>
      </c>
      <c r="E8" s="249">
        <v>281</v>
      </c>
      <c r="F8" s="249">
        <f t="shared" si="0"/>
        <v>9171.84</v>
      </c>
      <c r="G8" s="252" t="s">
        <v>148</v>
      </c>
      <c r="H8" s="253" t="s">
        <v>149</v>
      </c>
      <c r="I8" s="252" t="s">
        <v>153</v>
      </c>
      <c r="J8" s="254" t="s">
        <v>151</v>
      </c>
    </row>
    <row r="9" ht="50" customHeight="1" spans="1:10">
      <c r="A9" s="249">
        <v>4</v>
      </c>
      <c r="B9" s="252" t="s">
        <v>155</v>
      </c>
      <c r="C9" s="249" t="s">
        <v>147</v>
      </c>
      <c r="D9" s="249">
        <v>9.36</v>
      </c>
      <c r="E9" s="249">
        <v>275</v>
      </c>
      <c r="F9" s="249">
        <f t="shared" si="0"/>
        <v>2574</v>
      </c>
      <c r="G9" s="252" t="s">
        <v>148</v>
      </c>
      <c r="H9" s="253" t="s">
        <v>149</v>
      </c>
      <c r="I9" s="252" t="s">
        <v>153</v>
      </c>
      <c r="J9" s="254" t="s">
        <v>151</v>
      </c>
    </row>
    <row r="10" ht="36" customHeight="1" spans="1:10">
      <c r="A10" s="249">
        <v>5</v>
      </c>
      <c r="B10" s="252" t="s">
        <v>156</v>
      </c>
      <c r="C10" s="249" t="s">
        <v>147</v>
      </c>
      <c r="D10" s="249">
        <v>92.4</v>
      </c>
      <c r="E10" s="249">
        <v>220</v>
      </c>
      <c r="F10" s="249">
        <f t="shared" si="0"/>
        <v>20328</v>
      </c>
      <c r="G10" s="252" t="s">
        <v>148</v>
      </c>
      <c r="H10" s="253" t="s">
        <v>149</v>
      </c>
      <c r="I10" s="252" t="s">
        <v>157</v>
      </c>
      <c r="J10" s="254" t="s">
        <v>158</v>
      </c>
    </row>
    <row r="11" ht="52" customHeight="1" spans="1:10">
      <c r="A11" s="249">
        <v>6</v>
      </c>
      <c r="B11" s="252" t="s">
        <v>159</v>
      </c>
      <c r="C11" s="249" t="s">
        <v>147</v>
      </c>
      <c r="D11" s="249">
        <v>397.14</v>
      </c>
      <c r="E11" s="249">
        <v>405</v>
      </c>
      <c r="F11" s="249">
        <f t="shared" si="0"/>
        <v>160841.7</v>
      </c>
      <c r="G11" s="252" t="s">
        <v>148</v>
      </c>
      <c r="H11" s="253" t="s">
        <v>149</v>
      </c>
      <c r="I11" s="252" t="s">
        <v>160</v>
      </c>
      <c r="J11" s="254" t="s">
        <v>161</v>
      </c>
    </row>
    <row r="12" ht="40.5" spans="1:10">
      <c r="A12" s="249">
        <v>7</v>
      </c>
      <c r="B12" s="252" t="s">
        <v>162</v>
      </c>
      <c r="C12" s="249" t="s">
        <v>147</v>
      </c>
      <c r="D12" s="249">
        <v>52.44</v>
      </c>
      <c r="E12" s="249">
        <v>146</v>
      </c>
      <c r="F12" s="249">
        <f t="shared" si="0"/>
        <v>7656.24</v>
      </c>
      <c r="G12" s="252" t="s">
        <v>148</v>
      </c>
      <c r="H12" s="253" t="s">
        <v>149</v>
      </c>
      <c r="I12" s="252" t="s">
        <v>163</v>
      </c>
      <c r="J12" s="254" t="s">
        <v>164</v>
      </c>
    </row>
    <row r="13" ht="39" customHeight="1" spans="1:10">
      <c r="A13" s="249">
        <v>8</v>
      </c>
      <c r="B13" s="252" t="s">
        <v>165</v>
      </c>
      <c r="C13" s="249" t="s">
        <v>147</v>
      </c>
      <c r="D13" s="249">
        <v>22.8</v>
      </c>
      <c r="E13" s="249">
        <v>184</v>
      </c>
      <c r="F13" s="249">
        <f t="shared" si="0"/>
        <v>4195.2</v>
      </c>
      <c r="G13" s="252" t="s">
        <v>148</v>
      </c>
      <c r="H13" s="253" t="s">
        <v>149</v>
      </c>
      <c r="I13" s="252" t="s">
        <v>166</v>
      </c>
      <c r="J13" s="254" t="s">
        <v>164</v>
      </c>
    </row>
    <row r="14" ht="48" customHeight="1" spans="1:10">
      <c r="A14" s="251" t="s">
        <v>167</v>
      </c>
      <c r="B14" s="252" t="s">
        <v>145</v>
      </c>
      <c r="C14" s="249" t="s">
        <v>145</v>
      </c>
      <c r="D14" s="249" t="s">
        <v>145</v>
      </c>
      <c r="E14" s="249"/>
      <c r="F14" s="249"/>
      <c r="G14" s="252" t="s">
        <v>145</v>
      </c>
      <c r="H14" s="252" t="s">
        <v>145</v>
      </c>
      <c r="I14" s="252" t="s">
        <v>145</v>
      </c>
      <c r="J14" s="252" t="s">
        <v>145</v>
      </c>
    </row>
    <row r="15" ht="48" customHeight="1" spans="1:10">
      <c r="A15" s="249">
        <v>9</v>
      </c>
      <c r="B15" s="252" t="s">
        <v>168</v>
      </c>
      <c r="C15" s="249" t="s">
        <v>147</v>
      </c>
      <c r="D15" s="249">
        <v>52.56</v>
      </c>
      <c r="E15" s="249">
        <v>178</v>
      </c>
      <c r="F15" s="249">
        <f>ROUND(D15*E15,2)</f>
        <v>9355.68</v>
      </c>
      <c r="G15" s="252" t="s">
        <v>148</v>
      </c>
      <c r="H15" s="253" t="s">
        <v>149</v>
      </c>
      <c r="I15" s="252" t="s">
        <v>169</v>
      </c>
      <c r="J15" s="252" t="s">
        <v>164</v>
      </c>
    </row>
    <row r="16" ht="30" customHeight="1" spans="1:10">
      <c r="A16" s="255" t="s">
        <v>170</v>
      </c>
      <c r="B16" s="256"/>
      <c r="C16" s="257"/>
      <c r="D16" s="249"/>
      <c r="E16" s="249"/>
      <c r="F16" s="249">
        <f>SUM(F6:F15)</f>
        <v>285323.64</v>
      </c>
      <c r="G16" s="258"/>
      <c r="H16" s="253"/>
      <c r="I16" s="252"/>
      <c r="J16" s="252"/>
    </row>
    <row r="17" ht="26" customHeight="1" spans="1:11">
      <c r="A17" s="255" t="s">
        <v>171</v>
      </c>
      <c r="B17" s="256"/>
      <c r="C17" s="257"/>
      <c r="D17" s="249"/>
      <c r="E17" s="249"/>
      <c r="F17" s="249">
        <f>ROUND(F16*0.13,2)</f>
        <v>37092.07</v>
      </c>
      <c r="G17" s="258"/>
      <c r="H17" s="253"/>
      <c r="I17" s="252"/>
      <c r="J17" s="252"/>
    </row>
    <row r="18" ht="27" customHeight="1" spans="1:11">
      <c r="A18" s="255" t="s">
        <v>172</v>
      </c>
      <c r="B18" s="256"/>
      <c r="C18" s="257" t="s">
        <v>145</v>
      </c>
      <c r="D18" s="249" t="s">
        <v>145</v>
      </c>
      <c r="E18" s="249"/>
      <c r="F18" s="249">
        <f>F16+F17</f>
        <v>322415.71</v>
      </c>
      <c r="G18" s="252" t="s">
        <v>145</v>
      </c>
      <c r="H18" s="252" t="s">
        <v>145</v>
      </c>
      <c r="I18" s="252" t="s">
        <v>145</v>
      </c>
      <c r="J18" s="252" t="s">
        <v>145</v>
      </c>
    </row>
    <row r="19" s="241" customFormat="1" ht="64" customHeight="1" spans="1:11">
      <c r="A19" s="259" t="s">
        <v>173</v>
      </c>
      <c r="B19" s="259"/>
      <c r="C19" s="259"/>
      <c r="D19" s="259"/>
      <c r="E19" s="259"/>
      <c r="F19" s="259"/>
      <c r="G19" s="259"/>
      <c r="H19" s="259"/>
      <c r="I19" s="259"/>
      <c r="J19" s="259"/>
      <c r="K19" s="260"/>
    </row>
    <row r="20" spans="1:11">
      <c r="A20" s="259" t="s">
        <v>174</v>
      </c>
      <c r="B20" s="259"/>
      <c r="C20" s="259"/>
      <c r="D20" s="259"/>
      <c r="E20" s="259"/>
      <c r="F20" s="259"/>
      <c r="G20" s="259"/>
      <c r="H20" s="259"/>
      <c r="I20" s="259"/>
      <c r="J20" s="259"/>
      <c r="K20" s="259"/>
    </row>
    <row r="21" ht="18" customHeight="1" spans="1:11">
      <c r="A21" s="259" t="s">
        <v>175</v>
      </c>
      <c r="B21" s="259"/>
      <c r="C21" s="259"/>
      <c r="D21" s="259"/>
      <c r="E21" s="259"/>
      <c r="F21" s="259"/>
      <c r="G21" s="259"/>
      <c r="H21" s="259"/>
      <c r="I21" s="259"/>
      <c r="J21" s="259"/>
      <c r="K21" s="259"/>
    </row>
    <row r="22" ht="18" customHeight="1" spans="1:11">
      <c r="A22" s="259" t="s">
        <v>176</v>
      </c>
      <c r="B22" s="259"/>
      <c r="C22" s="259"/>
      <c r="D22" s="259"/>
      <c r="E22" s="259"/>
      <c r="F22" s="259"/>
      <c r="G22" s="259"/>
      <c r="H22" s="259"/>
      <c r="I22" s="259"/>
      <c r="J22" s="259"/>
      <c r="K22" s="259"/>
    </row>
    <row r="23" spans="1:11">
      <c r="A23" s="259" t="s">
        <v>177</v>
      </c>
      <c r="B23" s="259"/>
      <c r="C23" s="259"/>
      <c r="D23" s="259"/>
      <c r="E23" s="259"/>
      <c r="F23" s="259"/>
      <c r="G23" s="259"/>
      <c r="H23" s="259"/>
      <c r="I23" s="259"/>
      <c r="J23" s="259"/>
      <c r="K23" s="259"/>
    </row>
    <row r="24" spans="1:11">
      <c r="A24" s="259" t="s">
        <v>178</v>
      </c>
      <c r="B24" s="259"/>
      <c r="C24" s="259"/>
      <c r="D24" s="259"/>
      <c r="E24" s="259"/>
      <c r="F24" s="259"/>
      <c r="G24" s="259"/>
      <c r="H24" s="259"/>
      <c r="I24" s="259"/>
      <c r="J24" s="259"/>
      <c r="K24" s="259"/>
    </row>
    <row r="25" spans="1:11">
      <c r="A25" s="259" t="s">
        <v>179</v>
      </c>
      <c r="B25" s="259"/>
      <c r="C25" s="259"/>
      <c r="D25" s="259"/>
      <c r="E25" s="259"/>
      <c r="F25" s="259"/>
      <c r="G25" s="259"/>
      <c r="H25" s="259"/>
      <c r="I25" s="259"/>
      <c r="J25" s="259"/>
      <c r="K25" s="259"/>
    </row>
    <row r="26" spans="1:11">
      <c r="A26" s="259" t="s">
        <v>180</v>
      </c>
      <c r="B26" s="259"/>
      <c r="C26" s="259"/>
      <c r="D26" s="259"/>
      <c r="E26" s="259"/>
      <c r="F26" s="259"/>
      <c r="G26" s="259"/>
      <c r="H26" s="259"/>
      <c r="I26" s="259"/>
      <c r="J26" s="259"/>
      <c r="K26" s="259"/>
    </row>
  </sheetData>
  <mergeCells count="21">
    <mergeCell ref="A2:J2"/>
    <mergeCell ref="E3:F3"/>
    <mergeCell ref="A16:C16"/>
    <mergeCell ref="A17:C17"/>
    <mergeCell ref="A18:C18"/>
    <mergeCell ref="A19:J19"/>
    <mergeCell ref="A20:J20"/>
    <mergeCell ref="A21:J21"/>
    <mergeCell ref="A22:J22"/>
    <mergeCell ref="A23:J23"/>
    <mergeCell ref="A24:J24"/>
    <mergeCell ref="A25:J25"/>
    <mergeCell ref="A26:J26"/>
    <mergeCell ref="A3:A4"/>
    <mergeCell ref="B3:B4"/>
    <mergeCell ref="C3:C4"/>
    <mergeCell ref="D3:D4"/>
    <mergeCell ref="G3:G4"/>
    <mergeCell ref="H3:H4"/>
    <mergeCell ref="I3:I4"/>
    <mergeCell ref="J3:J4"/>
  </mergeCells>
  <pageMargins left="0.75" right="0.75" top="0.314583333333333" bottom="0.275" header="0.5" footer="0.5"/>
  <pageSetup paperSize="9" scale="61"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T20"/>
  <sheetViews>
    <sheetView showZeros="0" view="pageBreakPreview" zoomScale="55" zoomScalePageLayoutView="10" zoomScaleNormal="40" workbookViewId="0">
      <pane xSplit="5" ySplit="4" topLeftCell="F5" activePane="bottomRight" state="frozen"/>
      <selection/>
      <selection pane="topRight"/>
      <selection pane="bottomLeft"/>
      <selection pane="bottomRight" activeCell="H15" sqref="H15:K15"/>
    </sheetView>
  </sheetViews>
  <sheetFormatPr defaultColWidth="9.14285714285714" defaultRowHeight="25.5"/>
  <cols>
    <col min="1" max="1" width="19.3904761904762" style="140" customWidth="1"/>
    <col min="2" max="3" width="39.5904761904762" style="140" customWidth="1"/>
    <col min="4" max="4" width="9.42857142857143" style="140" customWidth="1"/>
    <col min="5" max="6" width="20.4285714285714" style="205" customWidth="1"/>
    <col min="7" max="7" width="20.4285714285714" style="205" hidden="1" customWidth="1"/>
    <col min="8" max="8" width="27.5238095238095" style="140" customWidth="1"/>
    <col min="9" max="12" width="25.7047619047619" style="140" customWidth="1"/>
    <col min="13" max="13" width="19.9904761904762" style="140" customWidth="1"/>
    <col min="14" max="14" width="21.4285714285714" style="206" customWidth="1"/>
    <col min="15" max="15" width="24.4095238095238" style="205" customWidth="1"/>
    <col min="16" max="16" width="22.5714285714286" style="207" customWidth="1"/>
    <col min="17" max="17" width="34" style="143" customWidth="1"/>
    <col min="18" max="20" width="9.14285714285714" style="208" customWidth="1"/>
    <col min="21" max="28" width="9.14285714285714" style="147" customWidth="1"/>
    <col min="29" max="16384" width="9.14285714285714" style="147"/>
  </cols>
  <sheetData>
    <row r="1" spans="1:20">
      <c r="A1" s="148"/>
    </row>
    <row r="2" s="138" customFormat="1" ht="99.75" customHeight="1" spans="1:20">
      <c r="A2" s="151" t="s">
        <v>181</v>
      </c>
      <c r="B2" s="151"/>
      <c r="C2" s="151"/>
      <c r="D2" s="151"/>
      <c r="E2" s="209"/>
      <c r="F2" s="209"/>
      <c r="G2" s="209"/>
      <c r="H2" s="151"/>
      <c r="I2" s="151"/>
      <c r="J2" s="151"/>
      <c r="K2" s="151"/>
      <c r="L2" s="151"/>
      <c r="M2" s="151"/>
      <c r="N2" s="210"/>
      <c r="O2" s="209"/>
      <c r="P2" s="209"/>
      <c r="Q2" s="151"/>
      <c r="R2" s="211"/>
      <c r="S2" s="211"/>
      <c r="T2" s="211"/>
    </row>
    <row r="3" ht="79" customHeight="1" spans="1:20">
      <c r="A3" s="154" t="s">
        <v>182</v>
      </c>
      <c r="B3" s="155" t="s">
        <v>183</v>
      </c>
      <c r="C3" s="212" t="s">
        <v>184</v>
      </c>
      <c r="D3" s="155" t="s">
        <v>3</v>
      </c>
      <c r="E3" s="213" t="s">
        <v>4</v>
      </c>
      <c r="F3" s="213" t="s">
        <v>185</v>
      </c>
      <c r="G3" s="213" t="s">
        <v>186</v>
      </c>
      <c r="H3" s="214" t="s">
        <v>187</v>
      </c>
      <c r="I3" s="215"/>
      <c r="J3" s="156" t="s">
        <v>188</v>
      </c>
      <c r="K3" s="156"/>
      <c r="L3" s="156"/>
      <c r="M3" s="216" t="s">
        <v>189</v>
      </c>
      <c r="N3" s="217" t="s">
        <v>190</v>
      </c>
      <c r="O3" s="217"/>
      <c r="P3" s="217" t="s">
        <v>191</v>
      </c>
      <c r="Q3" s="155" t="s">
        <v>10</v>
      </c>
    </row>
    <row r="4" s="138" customFormat="1" ht="107" customHeight="1" spans="1:20">
      <c r="A4" s="154"/>
      <c r="B4" s="155"/>
      <c r="C4" s="218"/>
      <c r="D4" s="155"/>
      <c r="E4" s="213"/>
      <c r="F4" s="213"/>
      <c r="G4" s="213"/>
      <c r="H4" s="156" t="s">
        <v>192</v>
      </c>
      <c r="I4" s="156" t="s">
        <v>193</v>
      </c>
      <c r="J4" s="156" t="s">
        <v>192</v>
      </c>
      <c r="K4" s="156" t="s">
        <v>193</v>
      </c>
      <c r="L4" s="156" t="s">
        <v>194</v>
      </c>
      <c r="M4" s="219"/>
      <c r="N4" s="220" t="s">
        <v>13</v>
      </c>
      <c r="O4" s="213" t="s">
        <v>14</v>
      </c>
      <c r="P4" s="221"/>
      <c r="Q4" s="155"/>
      <c r="R4" s="211"/>
      <c r="S4" s="211"/>
      <c r="T4" s="211"/>
    </row>
    <row r="5" ht="62" customHeight="1" spans="1:20">
      <c r="A5" s="171" t="s">
        <v>195</v>
      </c>
      <c r="B5" s="222" t="s">
        <v>196</v>
      </c>
      <c r="C5" s="172" t="s">
        <v>197</v>
      </c>
      <c r="D5" s="222" t="s">
        <v>39</v>
      </c>
      <c r="E5" s="193">
        <v>3148.96</v>
      </c>
      <c r="F5" s="193">
        <f>379.35/1.13</f>
        <v>335.70796460177</v>
      </c>
      <c r="G5" s="193">
        <f>ROUND(E5*F5,2)</f>
        <v>1057130.95</v>
      </c>
      <c r="H5" s="191" t="e">
        <f>H6-10</f>
        <v>#REF!</v>
      </c>
      <c r="I5" s="191" t="e">
        <f>I6-10</f>
        <v>#REF!</v>
      </c>
      <c r="J5" s="191">
        <f>J7-15</f>
        <v>262.04</v>
      </c>
      <c r="K5" s="191">
        <f>K7-15</f>
        <v>270.88</v>
      </c>
      <c r="L5" s="191">
        <f>L7-10</f>
        <v>292.81</v>
      </c>
      <c r="M5" s="191">
        <f>ROUND(AVERAGE(J5:L5),0)</f>
        <v>275</v>
      </c>
      <c r="N5" s="223">
        <f>M5</f>
        <v>275</v>
      </c>
      <c r="O5" s="173">
        <f>ROUND(E5*N5,0)</f>
        <v>865964</v>
      </c>
      <c r="P5" s="224" t="s">
        <v>198</v>
      </c>
      <c r="Q5" s="222" t="s">
        <v>199</v>
      </c>
    </row>
    <row r="6" ht="62" customHeight="1" spans="1:20">
      <c r="A6" s="171" t="s">
        <v>200</v>
      </c>
      <c r="B6" s="225"/>
      <c r="C6" s="172" t="s">
        <v>201</v>
      </c>
      <c r="D6" s="225"/>
      <c r="E6" s="193">
        <v>221.58</v>
      </c>
      <c r="F6" s="193">
        <f>389.35/1.13</f>
        <v>344.557522123894</v>
      </c>
      <c r="G6" s="193">
        <f t="shared" ref="G6:G15" si="0">ROUND(E6*F6,2)</f>
        <v>76347.06</v>
      </c>
      <c r="H6" s="191" t="e">
        <f>H7</f>
        <v>#REF!</v>
      </c>
      <c r="I6" s="191" t="e">
        <f>I7</f>
        <v>#REF!</v>
      </c>
      <c r="J6" s="191">
        <f>J5+15</f>
        <v>277.04</v>
      </c>
      <c r="K6" s="191">
        <f>K5+15</f>
        <v>285.88</v>
      </c>
      <c r="L6" s="191">
        <f>L5+20</f>
        <v>312.81</v>
      </c>
      <c r="M6" s="191">
        <f t="shared" ref="M6:M15" si="1">ROUND(AVERAGE(J6:L6),0)</f>
        <v>292</v>
      </c>
      <c r="N6" s="223">
        <f t="shared" ref="N6:N15" si="2">M6</f>
        <v>292</v>
      </c>
      <c r="O6" s="173">
        <f t="shared" ref="O6:O15" si="3">ROUND(E6*N6,0)</f>
        <v>64701</v>
      </c>
      <c r="P6" s="226"/>
      <c r="Q6" s="225"/>
    </row>
    <row r="7" ht="62" customHeight="1" spans="1:20">
      <c r="A7" s="171" t="s">
        <v>202</v>
      </c>
      <c r="B7" s="225"/>
      <c r="C7" s="172" t="s">
        <v>203</v>
      </c>
      <c r="D7" s="225"/>
      <c r="E7" s="193">
        <v>1750.5</v>
      </c>
      <c r="F7" s="193">
        <f>389.65/1.13</f>
        <v>344.823008849558</v>
      </c>
      <c r="G7" s="193">
        <f t="shared" si="0"/>
        <v>603612.68</v>
      </c>
      <c r="H7" s="191" t="e">
        <f>H8-10</f>
        <v>#REF!</v>
      </c>
      <c r="I7" s="191" t="e">
        <f>I8-10</f>
        <v>#REF!</v>
      </c>
      <c r="J7" s="191">
        <f>J9-15</f>
        <v>277.04</v>
      </c>
      <c r="K7" s="191">
        <f>K9-15</f>
        <v>285.88</v>
      </c>
      <c r="L7" s="191">
        <f>L9-10</f>
        <v>302.81</v>
      </c>
      <c r="M7" s="191">
        <f t="shared" si="1"/>
        <v>289</v>
      </c>
      <c r="N7" s="223">
        <f t="shared" si="2"/>
        <v>289</v>
      </c>
      <c r="O7" s="173">
        <f t="shared" si="3"/>
        <v>505895</v>
      </c>
      <c r="P7" s="226"/>
      <c r="Q7" s="225"/>
    </row>
    <row r="8" ht="62" customHeight="1" spans="1:20">
      <c r="A8" s="171" t="s">
        <v>204</v>
      </c>
      <c r="B8" s="225"/>
      <c r="C8" s="172" t="s">
        <v>205</v>
      </c>
      <c r="D8" s="225"/>
      <c r="E8" s="193">
        <v>76.76</v>
      </c>
      <c r="F8" s="193">
        <f>399.65/1.13</f>
        <v>353.672566371681</v>
      </c>
      <c r="G8" s="193">
        <f t="shared" si="0"/>
        <v>27147.91</v>
      </c>
      <c r="H8" s="191" t="e">
        <f>H9</f>
        <v>#REF!</v>
      </c>
      <c r="I8" s="191" t="e">
        <f>I9</f>
        <v>#REF!</v>
      </c>
      <c r="J8" s="191">
        <f>J7+15</f>
        <v>292.04</v>
      </c>
      <c r="K8" s="191">
        <f>K7+15</f>
        <v>300.88</v>
      </c>
      <c r="L8" s="191">
        <f>L7+20</f>
        <v>322.81</v>
      </c>
      <c r="M8" s="191">
        <f t="shared" si="1"/>
        <v>305</v>
      </c>
      <c r="N8" s="223">
        <f t="shared" si="2"/>
        <v>305</v>
      </c>
      <c r="O8" s="173">
        <f t="shared" si="3"/>
        <v>23412</v>
      </c>
      <c r="P8" s="226"/>
      <c r="Q8" s="225"/>
    </row>
    <row r="9" ht="62" customHeight="1" spans="1:20">
      <c r="A9" s="171" t="s">
        <v>206</v>
      </c>
      <c r="B9" s="225"/>
      <c r="C9" s="172" t="s">
        <v>207</v>
      </c>
      <c r="D9" s="225"/>
      <c r="E9" s="193">
        <v>3123.63</v>
      </c>
      <c r="F9" s="193">
        <f>399.95/1.13</f>
        <v>353.938053097345</v>
      </c>
      <c r="G9" s="193">
        <f t="shared" si="0"/>
        <v>1105571.52</v>
      </c>
      <c r="H9" s="191" t="e">
        <f>#REF!</f>
        <v>#REF!</v>
      </c>
      <c r="I9" s="191" t="e">
        <f>#REF!</f>
        <v>#REF!</v>
      </c>
      <c r="J9" s="191">
        <f>ROUND(330/1.13,2)</f>
        <v>292.04</v>
      </c>
      <c r="K9" s="191">
        <f>ROUND(340/1.13,2)</f>
        <v>300.88</v>
      </c>
      <c r="L9" s="191">
        <f>ROUND(345/1.13,2)+1.5*5</f>
        <v>312.81</v>
      </c>
      <c r="M9" s="191">
        <f t="shared" si="1"/>
        <v>302</v>
      </c>
      <c r="N9" s="223">
        <f t="shared" si="2"/>
        <v>302</v>
      </c>
      <c r="O9" s="173">
        <f t="shared" si="3"/>
        <v>943336</v>
      </c>
      <c r="P9" s="226"/>
      <c r="Q9" s="225"/>
    </row>
    <row r="10" ht="62" customHeight="1" spans="1:20">
      <c r="A10" s="171" t="s">
        <v>208</v>
      </c>
      <c r="B10" s="225"/>
      <c r="C10" s="172" t="s">
        <v>209</v>
      </c>
      <c r="D10" s="225"/>
      <c r="E10" s="193">
        <v>2.31</v>
      </c>
      <c r="F10" s="193">
        <f>409.95/1.13</f>
        <v>362.787610619469</v>
      </c>
      <c r="G10" s="193">
        <f t="shared" si="0"/>
        <v>838.04</v>
      </c>
      <c r="H10" s="191" t="e">
        <f>H9+10</f>
        <v>#REF!</v>
      </c>
      <c r="I10" s="191" t="e">
        <f>I9+10</f>
        <v>#REF!</v>
      </c>
      <c r="J10" s="191">
        <f>J9+15</f>
        <v>307.04</v>
      </c>
      <c r="K10" s="191">
        <f>K9+15</f>
        <v>315.88</v>
      </c>
      <c r="L10" s="191">
        <f>L9+20</f>
        <v>332.81</v>
      </c>
      <c r="M10" s="191">
        <f t="shared" si="1"/>
        <v>319</v>
      </c>
      <c r="N10" s="223">
        <f t="shared" si="2"/>
        <v>319</v>
      </c>
      <c r="O10" s="173">
        <f t="shared" si="3"/>
        <v>737</v>
      </c>
      <c r="P10" s="226"/>
      <c r="Q10" s="225"/>
    </row>
    <row r="11" ht="62" customHeight="1" spans="1:20">
      <c r="A11" s="171" t="s">
        <v>210</v>
      </c>
      <c r="B11" s="225"/>
      <c r="C11" s="172" t="s">
        <v>211</v>
      </c>
      <c r="D11" s="225"/>
      <c r="E11" s="193">
        <v>98.53</v>
      </c>
      <c r="F11" s="193">
        <f>419.95/1.13</f>
        <v>371.637168141593</v>
      </c>
      <c r="G11" s="193">
        <f t="shared" si="0"/>
        <v>36617.41</v>
      </c>
      <c r="H11" s="191" t="e">
        <f>H10+10</f>
        <v>#REF!</v>
      </c>
      <c r="I11" s="191" t="e">
        <f>I10+10</f>
        <v>#REF!</v>
      </c>
      <c r="J11" s="191">
        <f>J10</f>
        <v>307.04</v>
      </c>
      <c r="K11" s="191">
        <f>K10</f>
        <v>315.88</v>
      </c>
      <c r="L11" s="191">
        <f>L9+30</f>
        <v>342.81</v>
      </c>
      <c r="M11" s="191">
        <f t="shared" si="1"/>
        <v>322</v>
      </c>
      <c r="N11" s="223">
        <f t="shared" si="2"/>
        <v>322</v>
      </c>
      <c r="O11" s="173">
        <f t="shared" si="3"/>
        <v>31727</v>
      </c>
      <c r="P11" s="226"/>
      <c r="Q11" s="225"/>
    </row>
    <row r="12" ht="62" customHeight="1" spans="1:20">
      <c r="A12" s="171" t="s">
        <v>212</v>
      </c>
      <c r="B12" s="225"/>
      <c r="C12" s="172" t="s">
        <v>213</v>
      </c>
      <c r="D12" s="225"/>
      <c r="E12" s="193">
        <v>122.48</v>
      </c>
      <c r="F12" s="193">
        <f>441.15/1.13</f>
        <v>390.398230088496</v>
      </c>
      <c r="G12" s="193">
        <f t="shared" si="0"/>
        <v>47815.98</v>
      </c>
      <c r="H12" s="191" t="e">
        <f t="shared" ref="H12:K12" si="4">H9+20</f>
        <v>#REF!</v>
      </c>
      <c r="I12" s="191" t="e">
        <f t="shared" si="4"/>
        <v>#REF!</v>
      </c>
      <c r="J12" s="191">
        <f t="shared" si="4"/>
        <v>312.04</v>
      </c>
      <c r="K12" s="191">
        <f t="shared" si="4"/>
        <v>320.88</v>
      </c>
      <c r="L12" s="191">
        <f>L9+30</f>
        <v>342.81</v>
      </c>
      <c r="M12" s="191">
        <f t="shared" si="1"/>
        <v>325</v>
      </c>
      <c r="N12" s="223">
        <f t="shared" si="2"/>
        <v>325</v>
      </c>
      <c r="O12" s="173">
        <f t="shared" si="3"/>
        <v>39806</v>
      </c>
      <c r="P12" s="226"/>
      <c r="Q12" s="225"/>
    </row>
    <row r="13" ht="62" customHeight="1" spans="1:20">
      <c r="A13" s="171" t="s">
        <v>214</v>
      </c>
      <c r="B13" s="225"/>
      <c r="C13" s="172" t="s">
        <v>215</v>
      </c>
      <c r="D13" s="225"/>
      <c r="E13" s="193">
        <v>0.32</v>
      </c>
      <c r="F13" s="193">
        <f>451.15/1.13</f>
        <v>399.247787610619</v>
      </c>
      <c r="G13" s="193">
        <f t="shared" si="0"/>
        <v>127.76</v>
      </c>
      <c r="H13" s="191" t="e">
        <f>H12+10</f>
        <v>#REF!</v>
      </c>
      <c r="I13" s="191" t="e">
        <f>I12+10</f>
        <v>#REF!</v>
      </c>
      <c r="J13" s="191">
        <f>J12+15</f>
        <v>327.04</v>
      </c>
      <c r="K13" s="191">
        <f>K12+15</f>
        <v>335.88</v>
      </c>
      <c r="L13" s="191">
        <f>L12+20</f>
        <v>362.81</v>
      </c>
      <c r="M13" s="191">
        <f t="shared" si="1"/>
        <v>342</v>
      </c>
      <c r="N13" s="223">
        <f t="shared" si="2"/>
        <v>342</v>
      </c>
      <c r="O13" s="173">
        <f t="shared" si="3"/>
        <v>109</v>
      </c>
      <c r="P13" s="226"/>
      <c r="Q13" s="225"/>
    </row>
    <row r="14" ht="62" customHeight="1" spans="1:20">
      <c r="A14" s="171" t="s">
        <v>216</v>
      </c>
      <c r="B14" s="225"/>
      <c r="C14" s="172" t="s">
        <v>217</v>
      </c>
      <c r="D14" s="225"/>
      <c r="E14" s="193">
        <v>46.78</v>
      </c>
      <c r="F14" s="193">
        <f>461.15/1.13</f>
        <v>408.097345132743</v>
      </c>
      <c r="G14" s="193">
        <f t="shared" si="0"/>
        <v>19090.79</v>
      </c>
      <c r="H14" s="191" t="e">
        <f t="shared" ref="H14:K14" si="5">H13+10</f>
        <v>#REF!</v>
      </c>
      <c r="I14" s="191" t="e">
        <f t="shared" si="5"/>
        <v>#REF!</v>
      </c>
      <c r="J14" s="191">
        <f>J13+30</f>
        <v>357.04</v>
      </c>
      <c r="K14" s="191">
        <f>K13+30</f>
        <v>365.88</v>
      </c>
      <c r="L14" s="191">
        <f>L12+30</f>
        <v>372.81</v>
      </c>
      <c r="M14" s="191">
        <f t="shared" si="1"/>
        <v>365</v>
      </c>
      <c r="N14" s="223">
        <f t="shared" si="2"/>
        <v>365</v>
      </c>
      <c r="O14" s="173">
        <f t="shared" si="3"/>
        <v>17075</v>
      </c>
      <c r="P14" s="226"/>
      <c r="Q14" s="225"/>
    </row>
    <row r="15" ht="62" customHeight="1" spans="1:20">
      <c r="A15" s="171" t="s">
        <v>218</v>
      </c>
      <c r="B15" s="227"/>
      <c r="C15" s="172" t="s">
        <v>219</v>
      </c>
      <c r="D15" s="227"/>
      <c r="E15" s="193">
        <v>17.35</v>
      </c>
      <c r="F15" s="193">
        <f>471.15/1.13</f>
        <v>416.946902654867</v>
      </c>
      <c r="G15" s="193">
        <f t="shared" si="0"/>
        <v>7234.03</v>
      </c>
      <c r="H15" s="191" t="e">
        <f>H14+10</f>
        <v>#REF!</v>
      </c>
      <c r="I15" s="191" t="e">
        <f>I14+10</f>
        <v>#REF!</v>
      </c>
      <c r="J15" s="191">
        <f>J14+10</f>
        <v>367.04</v>
      </c>
      <c r="K15" s="191">
        <f>K14+10</f>
        <v>375.88</v>
      </c>
      <c r="L15" s="191">
        <f>ROUND(425/1.13,2)+1.5*5</f>
        <v>383.61</v>
      </c>
      <c r="M15" s="191">
        <f t="shared" si="1"/>
        <v>376</v>
      </c>
      <c r="N15" s="223">
        <f t="shared" si="2"/>
        <v>376</v>
      </c>
      <c r="O15" s="173">
        <f t="shared" si="3"/>
        <v>6524</v>
      </c>
      <c r="P15" s="228"/>
      <c r="Q15" s="227"/>
    </row>
    <row r="16" ht="53" customHeight="1" spans="1:20">
      <c r="A16" s="229" t="s">
        <v>170</v>
      </c>
      <c r="B16" s="230"/>
      <c r="C16" s="230"/>
      <c r="D16" s="231"/>
      <c r="E16" s="193"/>
      <c r="F16" s="232">
        <f>SUM(G5:G15)</f>
        <v>2981534.13</v>
      </c>
      <c r="G16" s="193"/>
      <c r="H16" s="191"/>
      <c r="I16" s="191"/>
      <c r="J16" s="191"/>
      <c r="K16" s="191"/>
      <c r="L16" s="191"/>
      <c r="M16" s="191"/>
      <c r="N16" s="223"/>
      <c r="O16" s="233">
        <f>ROUND(SUM(O5:O15),2)</f>
        <v>2499286</v>
      </c>
      <c r="P16" s="234"/>
      <c r="Q16" s="227"/>
    </row>
    <row r="17" ht="53" customHeight="1" spans="1:17">
      <c r="A17" s="229" t="s">
        <v>171</v>
      </c>
      <c r="B17" s="230"/>
      <c r="C17" s="230"/>
      <c r="D17" s="231"/>
      <c r="E17" s="193"/>
      <c r="F17" s="232">
        <f>F18-F16</f>
        <v>392276.87</v>
      </c>
      <c r="G17" s="193"/>
      <c r="H17" s="191"/>
      <c r="I17" s="191"/>
      <c r="J17" s="191"/>
      <c r="K17" s="191"/>
      <c r="L17" s="191"/>
      <c r="M17" s="191"/>
      <c r="N17" s="223"/>
      <c r="O17" s="233">
        <f>ROUND(O16*0.13,0)</f>
        <v>324907</v>
      </c>
      <c r="P17" s="234"/>
      <c r="Q17" s="227"/>
    </row>
    <row r="18" ht="46" customHeight="1" spans="1:17">
      <c r="A18" s="235" t="s">
        <v>172</v>
      </c>
      <c r="B18" s="236"/>
      <c r="C18" s="236"/>
      <c r="D18" s="236"/>
      <c r="E18" s="232"/>
      <c r="F18" s="232">
        <v>3373811</v>
      </c>
      <c r="G18" s="232"/>
      <c r="H18" s="196"/>
      <c r="I18" s="196"/>
      <c r="J18" s="196"/>
      <c r="K18" s="196"/>
      <c r="L18" s="196"/>
      <c r="M18" s="196"/>
      <c r="N18" s="237"/>
      <c r="O18" s="233">
        <f>O16+O17</f>
        <v>2824193</v>
      </c>
      <c r="P18" s="238"/>
      <c r="Q18" s="239"/>
    </row>
    <row r="19" spans="1:17">
      <c r="E19" s="240"/>
    </row>
    <row r="20" spans="1:17">
      <c r="E20" s="240"/>
    </row>
  </sheetData>
  <mergeCells count="20">
    <mergeCell ref="A2:Q2"/>
    <mergeCell ref="H3:I3"/>
    <mergeCell ref="J3:L3"/>
    <mergeCell ref="N3:O3"/>
    <mergeCell ref="A16:D16"/>
    <mergeCell ref="A17:D17"/>
    <mergeCell ref="A18:D18"/>
    <mergeCell ref="A3:A4"/>
    <mergeCell ref="B3:B4"/>
    <mergeCell ref="B5:B15"/>
    <mergeCell ref="C3:C4"/>
    <mergeCell ref="D3:D4"/>
    <mergeCell ref="D5:D15"/>
    <mergeCell ref="E3:E4"/>
    <mergeCell ref="F3:F4"/>
    <mergeCell ref="M3:M4"/>
    <mergeCell ref="P3:P4"/>
    <mergeCell ref="P5:P15"/>
    <mergeCell ref="Q3:Q4"/>
    <mergeCell ref="Q5:Q15"/>
  </mergeCells>
  <conditionalFormatting sqref="N2">
    <cfRule type="cellIs" dxfId="0" priority="11" stopIfTrue="1" operator="lessThan">
      <formula>0</formula>
    </cfRule>
  </conditionalFormatting>
  <printOptions horizontalCentered="1"/>
  <pageMargins left="0.196527777777778" right="0.196527777777778" top="0.590277777777778" bottom="0.590277777777778" header="0.314583333333333" footer="0.314583333333333"/>
  <pageSetup paperSize="9" scale="36" fitToHeight="0" orientation="landscape" blackAndWhite="1"/>
  <headerFooter>
    <oddFooter>&amp;C&amp;"宋体,常规"第&amp;"Arial,常规" &amp;P &amp;"宋体,常规"页，共&amp;"Arial,常规" &amp;N &amp;"宋体,常规"页</oddFooter>
  </headerFooter>
  <ignoredErrors>
    <ignoredError sqref="A16:T20 A15:K15 A10:L14 A9:K9 N5:T15 A5:L8 A1:T4"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AJ65"/>
  <sheetViews>
    <sheetView showZeros="0" zoomScale="40" zoomScaleNormal="40" zoomScalePageLayoutView="10" zoomScaleSheetLayoutView="40" workbookViewId="0">
      <pane xSplit="23" ySplit="5" topLeftCell="X47" activePane="bottomRight" state="frozen"/>
      <selection/>
      <selection pane="topRight"/>
      <selection pane="bottomLeft"/>
      <selection pane="bottomRight" activeCell="K1" sqref="K$1:K$1048576"/>
    </sheetView>
  </sheetViews>
  <sheetFormatPr defaultColWidth="9.14285714285714" defaultRowHeight="25.5"/>
  <cols>
    <col min="1" max="1" width="13.5714285714286" style="140" customWidth="1"/>
    <col min="2" max="2" width="30.4285714285714" style="140" customWidth="1"/>
    <col min="3" max="3" width="11.8571428571429" style="140" customWidth="1"/>
    <col min="4" max="4" width="12.8571428571429" style="140" customWidth="1"/>
    <col min="5" max="5" width="25" style="140" customWidth="1"/>
    <col min="6" max="6" width="21.7142857142857" style="140" hidden="1" customWidth="1"/>
    <col min="7" max="7" width="19.8571428571429" style="140" customWidth="1"/>
    <col min="8" max="8" width="25.5714285714286" style="140" customWidth="1"/>
    <col min="9" max="9" width="22.7142857142857" style="140" customWidth="1"/>
    <col min="10" max="10" width="30.1428571428571" style="141" customWidth="1"/>
    <col min="11" max="11" width="25.8571428571429" style="140" hidden="1" customWidth="1"/>
    <col min="12" max="16" width="22.5714285714286" style="142" customWidth="1"/>
    <col min="17" max="17" width="26.1428571428571" style="140" customWidth="1"/>
    <col min="18" max="18" width="34.8571428571429" style="140" customWidth="1"/>
    <col min="19" max="19" width="25.8571428571429" style="140" customWidth="1"/>
    <col min="20" max="20" width="39" style="143" hidden="1" customWidth="1"/>
    <col min="21" max="21" width="62.4285714285714" style="143" hidden="1" customWidth="1"/>
    <col min="22" max="22" width="36" style="143" customWidth="1"/>
    <col min="23" max="23" width="34" style="143" hidden="1" customWidth="1"/>
    <col min="24" max="24" width="29" style="144" customWidth="1"/>
    <col min="25" max="25" width="21.1428571428571" style="145" customWidth="1"/>
    <col min="26" max="26" width="21.5714285714286" style="146" customWidth="1"/>
    <col min="27" max="27" width="27.8571428571429" style="145" customWidth="1"/>
    <col min="28" max="28" width="23.8571428571429" style="145" customWidth="1"/>
    <col min="29" max="29" width="22.7142857142857" style="145" customWidth="1"/>
    <col min="30" max="30" width="27.1428571428571" style="145" customWidth="1"/>
    <col min="31" max="33" width="15.5714285714286" style="145" customWidth="1"/>
    <col min="34" max="36" width="15.5714285714286" style="147" customWidth="1"/>
    <col min="37" max="44" width="9.14285714285714" style="147" customWidth="1"/>
    <col min="45" max="16384" width="9.14285714285714" style="147"/>
  </cols>
  <sheetData>
    <row r="1" spans="1:36">
      <c r="A1" s="148" t="s">
        <v>220</v>
      </c>
      <c r="Y1" s="149" t="s">
        <v>221</v>
      </c>
      <c r="Z1" s="149" t="s">
        <v>222</v>
      </c>
      <c r="AA1" s="149" t="s">
        <v>223</v>
      </c>
      <c r="AB1" s="149" t="s">
        <v>224</v>
      </c>
      <c r="AC1" s="145" t="s">
        <v>225</v>
      </c>
      <c r="AD1" s="150" t="s">
        <v>226</v>
      </c>
    </row>
    <row r="2" s="138" customFormat="1" ht="79.5" customHeight="1" spans="1:36">
      <c r="A2" s="151" t="s">
        <v>227</v>
      </c>
      <c r="B2" s="151"/>
      <c r="C2" s="151"/>
      <c r="D2" s="151"/>
      <c r="E2" s="151"/>
      <c r="F2" s="151"/>
      <c r="G2" s="151"/>
      <c r="H2" s="151"/>
      <c r="I2" s="151"/>
      <c r="J2" s="152"/>
      <c r="K2" s="151"/>
      <c r="L2" s="151"/>
      <c r="M2" s="151"/>
      <c r="N2" s="151"/>
      <c r="O2" s="151"/>
      <c r="P2" s="151"/>
      <c r="Q2" s="151"/>
      <c r="R2" s="151"/>
      <c r="S2" s="151"/>
      <c r="T2" s="151"/>
      <c r="U2" s="151"/>
      <c r="V2" s="151"/>
      <c r="W2" s="151"/>
      <c r="X2" s="144"/>
      <c r="Y2" s="153">
        <f>5800/1000</f>
        <v>5.8</v>
      </c>
      <c r="Z2" s="153">
        <f>4300/1000</f>
        <v>4.3</v>
      </c>
      <c r="AA2" s="153">
        <f>4200/1000</f>
        <v>4.2</v>
      </c>
      <c r="AB2" s="153">
        <f>6000/1000</f>
        <v>6</v>
      </c>
      <c r="AC2" s="153">
        <v>130</v>
      </c>
      <c r="AD2" s="150">
        <v>70</v>
      </c>
      <c r="AE2" s="144"/>
      <c r="AF2" s="144"/>
      <c r="AG2" s="144"/>
    </row>
    <row r="3" ht="80.25" customHeight="1" spans="1:36">
      <c r="A3" s="154" t="s">
        <v>1</v>
      </c>
      <c r="B3" s="155" t="s">
        <v>2</v>
      </c>
      <c r="C3" s="155" t="s">
        <v>3</v>
      </c>
      <c r="D3" s="156" t="s">
        <v>4</v>
      </c>
      <c r="E3" s="157" t="s">
        <v>5</v>
      </c>
      <c r="F3" s="157"/>
      <c r="G3" s="157" t="s">
        <v>228</v>
      </c>
      <c r="H3" s="158" t="s">
        <v>229</v>
      </c>
      <c r="I3" s="157" t="s">
        <v>230</v>
      </c>
      <c r="J3" s="159" t="s">
        <v>231</v>
      </c>
      <c r="K3" s="159"/>
      <c r="L3" s="160" t="s">
        <v>232</v>
      </c>
      <c r="M3" s="160"/>
      <c r="N3" s="160"/>
      <c r="O3" s="160"/>
      <c r="P3" s="160"/>
      <c r="Q3" s="159" t="s">
        <v>233</v>
      </c>
      <c r="R3" s="159"/>
      <c r="S3" s="155" t="s">
        <v>7</v>
      </c>
      <c r="T3" s="155" t="s">
        <v>8</v>
      </c>
      <c r="U3" s="155" t="s">
        <v>9</v>
      </c>
      <c r="V3" s="155" t="s">
        <v>10</v>
      </c>
      <c r="W3" s="161" t="s">
        <v>10</v>
      </c>
      <c r="X3" s="162"/>
      <c r="Y3" s="163" t="s">
        <v>234</v>
      </c>
      <c r="Z3" s="163" t="s">
        <v>235</v>
      </c>
      <c r="AA3" s="163" t="s">
        <v>196</v>
      </c>
      <c r="AB3" s="163" t="s">
        <v>236</v>
      </c>
      <c r="AC3" s="163" t="s">
        <v>237</v>
      </c>
      <c r="AD3" s="164" t="s">
        <v>238</v>
      </c>
    </row>
    <row r="4" s="138" customFormat="1" ht="42.75" customHeight="1" spans="1:36">
      <c r="A4" s="154"/>
      <c r="B4" s="155"/>
      <c r="C4" s="155"/>
      <c r="D4" s="156"/>
      <c r="E4" s="157"/>
      <c r="F4" s="157"/>
      <c r="G4" s="157"/>
      <c r="H4" s="165"/>
      <c r="I4" s="157"/>
      <c r="J4" s="166" t="s">
        <v>142</v>
      </c>
      <c r="K4" s="157" t="s">
        <v>14</v>
      </c>
      <c r="L4" s="157" t="s">
        <v>239</v>
      </c>
      <c r="M4" s="157" t="s">
        <v>240</v>
      </c>
      <c r="N4" s="157" t="s">
        <v>241</v>
      </c>
      <c r="O4" s="157" t="s">
        <v>242</v>
      </c>
      <c r="P4" s="157" t="s">
        <v>143</v>
      </c>
      <c r="Q4" s="157" t="s">
        <v>243</v>
      </c>
      <c r="R4" s="157" t="s">
        <v>143</v>
      </c>
      <c r="S4" s="155"/>
      <c r="T4" s="155"/>
      <c r="U4" s="155"/>
      <c r="V4" s="155"/>
      <c r="W4" s="161"/>
      <c r="X4" s="167"/>
      <c r="Y4" s="168">
        <f>4690/1000</f>
        <v>4.69</v>
      </c>
      <c r="Z4" s="168">
        <f>21000/1000</f>
        <v>21</v>
      </c>
      <c r="AA4" s="168">
        <v>445</v>
      </c>
      <c r="AB4" s="168">
        <v>9.9</v>
      </c>
      <c r="AC4" s="168">
        <f>1500/1000</f>
        <v>1.5</v>
      </c>
      <c r="AD4" s="168">
        <f>2200/1000</f>
        <v>2.2</v>
      </c>
      <c r="AE4" s="144"/>
      <c r="AF4" s="144"/>
      <c r="AG4" s="144"/>
    </row>
    <row r="5" s="138" customFormat="1" ht="42.75" customHeight="1" spans="1:36">
      <c r="A5" s="154" t="s">
        <v>15</v>
      </c>
      <c r="B5" s="155" t="s">
        <v>16</v>
      </c>
      <c r="C5" s="155" t="s">
        <v>17</v>
      </c>
      <c r="D5" s="156" t="s">
        <v>18</v>
      </c>
      <c r="E5" s="157" t="s">
        <v>19</v>
      </c>
      <c r="F5" s="157"/>
      <c r="G5" s="157" t="s">
        <v>244</v>
      </c>
      <c r="H5" s="157" t="s">
        <v>245</v>
      </c>
      <c r="I5" s="157" t="s">
        <v>246</v>
      </c>
      <c r="J5" s="166" t="s">
        <v>247</v>
      </c>
      <c r="K5" s="157" t="s">
        <v>248</v>
      </c>
      <c r="L5" s="157" t="s">
        <v>249</v>
      </c>
      <c r="M5" s="157" t="s">
        <v>250</v>
      </c>
      <c r="N5" s="157" t="s">
        <v>251</v>
      </c>
      <c r="O5" s="157" t="s">
        <v>252</v>
      </c>
      <c r="P5" s="157" t="s">
        <v>253</v>
      </c>
      <c r="Q5" s="157" t="s">
        <v>254</v>
      </c>
      <c r="R5" s="157" t="s">
        <v>255</v>
      </c>
      <c r="S5" s="155" t="s">
        <v>256</v>
      </c>
      <c r="T5" s="155"/>
      <c r="U5" s="155"/>
      <c r="V5" s="155" t="s">
        <v>257</v>
      </c>
      <c r="W5" s="161"/>
      <c r="X5" s="169"/>
      <c r="Y5" s="170"/>
      <c r="Z5" s="170"/>
      <c r="AA5" s="170"/>
      <c r="AB5" s="170"/>
      <c r="AC5" s="170"/>
      <c r="AD5" s="163"/>
      <c r="AE5" s="169"/>
      <c r="AF5" s="144"/>
      <c r="AG5" s="144"/>
    </row>
    <row r="6" ht="50.1" customHeight="1" spans="1:36">
      <c r="A6" s="171" t="s">
        <v>258</v>
      </c>
      <c r="B6" s="172" t="s">
        <v>259</v>
      </c>
      <c r="C6" s="172"/>
      <c r="D6" s="172"/>
      <c r="E6" s="173"/>
      <c r="F6" s="173"/>
      <c r="G6" s="173"/>
      <c r="H6" s="173"/>
      <c r="I6" s="173"/>
      <c r="J6" s="32"/>
      <c r="K6" s="173">
        <f>ROUND(D6*J6,0)</f>
        <v>0</v>
      </c>
      <c r="L6" s="174"/>
      <c r="M6" s="174"/>
      <c r="N6" s="174"/>
      <c r="O6" s="174"/>
      <c r="P6" s="174"/>
      <c r="Q6" s="173"/>
      <c r="R6" s="173"/>
      <c r="S6" s="175"/>
      <c r="T6" s="175"/>
      <c r="U6" s="175"/>
      <c r="V6" s="175"/>
      <c r="W6" s="172"/>
      <c r="X6" s="169"/>
      <c r="Y6" s="176"/>
      <c r="Z6" s="177"/>
      <c r="AA6" s="176"/>
      <c r="AB6" s="176"/>
      <c r="AC6" s="176"/>
      <c r="AD6" s="176"/>
      <c r="AE6" s="176"/>
    </row>
    <row r="7" ht="50.1" customHeight="1" spans="1:36">
      <c r="A7" s="171" t="s">
        <v>94</v>
      </c>
      <c r="B7" s="178" t="s">
        <v>260</v>
      </c>
      <c r="C7" s="172"/>
      <c r="D7" s="172"/>
      <c r="E7" s="173"/>
      <c r="F7" s="173"/>
      <c r="G7" s="173"/>
      <c r="H7" s="173"/>
      <c r="I7" s="173"/>
      <c r="J7" s="32"/>
      <c r="K7" s="173">
        <f>ROUND(D7*J7,0)</f>
        <v>0</v>
      </c>
      <c r="L7" s="174"/>
      <c r="M7" s="174"/>
      <c r="N7" s="174"/>
      <c r="O7" s="174"/>
      <c r="P7" s="174"/>
      <c r="Q7" s="173"/>
      <c r="R7" s="173"/>
      <c r="S7" s="175"/>
      <c r="T7" s="175"/>
      <c r="U7" s="175"/>
      <c r="V7" s="175"/>
      <c r="W7" s="172"/>
      <c r="X7" s="177" t="s">
        <v>222</v>
      </c>
      <c r="Y7" s="179" t="s">
        <v>222</v>
      </c>
      <c r="Z7" s="180" t="s">
        <v>261</v>
      </c>
      <c r="AA7" s="176" t="s">
        <v>262</v>
      </c>
      <c r="AB7" s="176" t="s">
        <v>225</v>
      </c>
      <c r="AC7" s="176"/>
      <c r="AD7" s="176"/>
      <c r="AE7" s="176"/>
      <c r="AH7" s="181"/>
      <c r="AI7" s="181"/>
      <c r="AJ7" s="181"/>
    </row>
    <row r="8" s="139" customFormat="1" ht="129.95" customHeight="1" spans="1:36">
      <c r="A8" s="171" t="s">
        <v>37</v>
      </c>
      <c r="B8" s="172" t="s">
        <v>263</v>
      </c>
      <c r="C8" s="173" t="s">
        <v>85</v>
      </c>
      <c r="D8" s="182">
        <v>1196</v>
      </c>
      <c r="E8" s="183" t="s">
        <v>264</v>
      </c>
      <c r="F8" s="183">
        <f>D8*E8</f>
        <v>402023.44</v>
      </c>
      <c r="G8" s="183">
        <v>236.4</v>
      </c>
      <c r="H8" s="183"/>
      <c r="I8" s="183">
        <v>306.8</v>
      </c>
      <c r="J8" s="31">
        <v>272</v>
      </c>
      <c r="K8" s="182">
        <v>325719</v>
      </c>
      <c r="L8" s="174">
        <v>22</v>
      </c>
      <c r="M8" s="174">
        <f>X8*(Z2+AC4)+AB8*AC2+AA8*AA4</f>
        <v>231.429981605351</v>
      </c>
      <c r="N8" s="174">
        <f>(L8+M8)*8%</f>
        <v>20.2743985284281</v>
      </c>
      <c r="O8" s="174">
        <f>(L8+M8+N8)*9%</f>
        <v>24.6333942120401</v>
      </c>
      <c r="P8" s="174">
        <f>L8+M8+N8+O8</f>
        <v>298.337774345819</v>
      </c>
      <c r="Q8" s="182">
        <f>ROUND(P8*(1-15%),0)</f>
        <v>254</v>
      </c>
      <c r="R8" s="182">
        <f t="shared" ref="R8:R17" si="0">ROUND(D8*Q8,0)</f>
        <v>303784</v>
      </c>
      <c r="S8" s="175" t="s">
        <v>265</v>
      </c>
      <c r="T8" s="184" t="s">
        <v>266</v>
      </c>
      <c r="U8" s="175" t="s">
        <v>267</v>
      </c>
      <c r="V8" s="175"/>
      <c r="W8" s="178" t="s">
        <v>268</v>
      </c>
      <c r="X8" s="185">
        <f>(19866.7+21496.5+535.81+688.6+200.33+1032.75+1596.78+592.2+636.3+74.34+344.25+318.15)/1196</f>
        <v>39.6176505016722</v>
      </c>
      <c r="Y8" s="179">
        <f>4711.5/100</f>
        <v>47.115</v>
      </c>
      <c r="Z8" s="186">
        <f>(1032.75+1596.78+592.2+636.3+74.34+344.25+318.15)/1196</f>
        <v>3.84178093645485</v>
      </c>
      <c r="AA8" s="187">
        <f>(1.35+2.03)/1196</f>
        <v>0.00282608695652174</v>
      </c>
      <c r="AB8" s="188">
        <f>25/100*0.012</f>
        <v>0.003</v>
      </c>
      <c r="AC8" s="189">
        <f>AA8*AA5*D8</f>
        <v>0</v>
      </c>
      <c r="AD8" s="189"/>
      <c r="AE8" s="189"/>
      <c r="AF8" s="190"/>
      <c r="AG8" s="190"/>
    </row>
    <row r="9" s="139" customFormat="1" ht="129.95" customHeight="1" spans="1:36">
      <c r="A9" s="171" t="s">
        <v>43</v>
      </c>
      <c r="B9" s="172" t="s">
        <v>269</v>
      </c>
      <c r="C9" s="173" t="s">
        <v>85</v>
      </c>
      <c r="D9" s="182">
        <f>24064+844</f>
        <v>24908</v>
      </c>
      <c r="E9" s="183" t="s">
        <v>270</v>
      </c>
      <c r="F9" s="183">
        <f t="shared" ref="F9:F56" si="1">D9*E9</f>
        <v>6316917.88</v>
      </c>
      <c r="G9" s="183">
        <v>197</v>
      </c>
      <c r="H9" s="183"/>
      <c r="I9" s="183">
        <v>231.56</v>
      </c>
      <c r="J9" s="31">
        <v>213</v>
      </c>
      <c r="K9" s="182">
        <v>5309887</v>
      </c>
      <c r="L9" s="174">
        <v>20</v>
      </c>
      <c r="M9" s="174">
        <f>X9*(Z2+AC4)+AB9*AC2+AA9*AA4</f>
        <v>178.347197722739</v>
      </c>
      <c r="N9" s="174">
        <f t="shared" ref="N9:N17" si="2">(L9+M9)*8%</f>
        <v>15.8677758178191</v>
      </c>
      <c r="O9" s="174">
        <f>(L9+M9+N9)*9%</f>
        <v>19.2793476186503</v>
      </c>
      <c r="P9" s="174">
        <f>L9+M9+N9+O9</f>
        <v>233.494321159209</v>
      </c>
      <c r="Q9" s="182">
        <f>ROUND(P9*(1-15%),0)</f>
        <v>198</v>
      </c>
      <c r="R9" s="182">
        <f t="shared" si="0"/>
        <v>4931784</v>
      </c>
      <c r="S9" s="175" t="s">
        <v>265</v>
      </c>
      <c r="T9" s="184" t="s">
        <v>266</v>
      </c>
      <c r="U9" s="175" t="s">
        <v>267</v>
      </c>
      <c r="V9" s="175"/>
      <c r="W9" s="178" t="s">
        <v>268</v>
      </c>
      <c r="X9" s="185">
        <f>(204232.48+440181+5390.34+13854.85+4030.72+15032.25+23242.02+8619.8+9261.7+1082.06+5010.75+4630.85)/24064</f>
        <v>30.5256324800532</v>
      </c>
      <c r="Y9" s="179">
        <f>3462/100</f>
        <v>34.62</v>
      </c>
      <c r="Z9" s="180">
        <f>(15032.25+23242.02+8619.8+9261.7+1082.06+5010.75+4630.85)/24064</f>
        <v>2.77923163231383</v>
      </c>
      <c r="AA9" s="176">
        <f>(19.65+29.48)/24064</f>
        <v>0.00204163896276596</v>
      </c>
      <c r="AB9" s="188">
        <f t="shared" ref="AB9:AB11" si="3">25/100*0.012</f>
        <v>0.003</v>
      </c>
      <c r="AC9" s="189">
        <f>AA9*AA5*D9</f>
        <v>0</v>
      </c>
      <c r="AD9" s="189"/>
      <c r="AE9" s="189"/>
      <c r="AF9" s="190"/>
      <c r="AG9" s="190"/>
    </row>
    <row r="10" ht="129.95" customHeight="1" spans="1:36">
      <c r="A10" s="171" t="s">
        <v>46</v>
      </c>
      <c r="B10" s="172" t="s">
        <v>271</v>
      </c>
      <c r="C10" s="172" t="s">
        <v>85</v>
      </c>
      <c r="D10" s="191">
        <f>7146+440</f>
        <v>7586</v>
      </c>
      <c r="E10" s="173" t="s">
        <v>272</v>
      </c>
      <c r="F10" s="183">
        <f t="shared" si="1"/>
        <v>2270110.5</v>
      </c>
      <c r="G10" s="173"/>
      <c r="H10" s="173"/>
      <c r="I10" s="173">
        <v>233.76</v>
      </c>
      <c r="J10" s="31">
        <v>192</v>
      </c>
      <c r="K10" s="182">
        <v>1454691</v>
      </c>
      <c r="L10" s="174">
        <v>20</v>
      </c>
      <c r="M10" s="174">
        <f>X10*(Z2+AC4)+AA10*AA4</f>
        <v>269.579204072208</v>
      </c>
      <c r="N10" s="174">
        <f t="shared" si="2"/>
        <v>23.1663363257767</v>
      </c>
      <c r="O10" s="174">
        <f>(L10+M10+N10)*9%</f>
        <v>28.1470986358186</v>
      </c>
      <c r="P10" s="174">
        <f>L10+M10+N10+O10</f>
        <v>340.892639033804</v>
      </c>
      <c r="Q10" s="182">
        <f t="shared" ref="Q10:Q44" si="4">ROUND(P10*(1-15%),0)</f>
        <v>290</v>
      </c>
      <c r="R10" s="182">
        <f t="shared" si="0"/>
        <v>2199940</v>
      </c>
      <c r="S10" s="175" t="s">
        <v>273</v>
      </c>
      <c r="T10" s="184" t="s">
        <v>266</v>
      </c>
      <c r="U10" s="175" t="s">
        <v>267</v>
      </c>
      <c r="V10" s="175"/>
      <c r="W10" s="178" t="s">
        <v>274</v>
      </c>
      <c r="X10" s="185">
        <f>(37306.01+130853.25+1600.7+4114.31+707.03+4360.5+6741.96+2500.4+2686.6+313.88+1453.5+1343.3)/7146</f>
        <v>27.1454575986566</v>
      </c>
      <c r="Y10" s="179">
        <f>3123.5/100</f>
        <v>31.235</v>
      </c>
      <c r="Z10" s="180">
        <f>(4360.5+6741.96+2500.4+2686.6+313.88+1453.5+1343.3)/7146</f>
        <v>2.71482507696613</v>
      </c>
      <c r="AA10" s="176">
        <f>25/100+0.00199</f>
        <v>0.25199</v>
      </c>
      <c r="AB10" s="188"/>
      <c r="AC10" s="189">
        <f>AA10*AA5*D10</f>
        <v>0</v>
      </c>
      <c r="AD10" s="176"/>
      <c r="AE10" s="176"/>
    </row>
    <row r="11" ht="129.95" customHeight="1" spans="1:36">
      <c r="A11" s="172" t="s">
        <v>275</v>
      </c>
      <c r="B11" s="172" t="s">
        <v>276</v>
      </c>
      <c r="C11" s="172" t="s">
        <v>85</v>
      </c>
      <c r="D11" s="191">
        <v>112</v>
      </c>
      <c r="E11" s="173" t="s">
        <v>277</v>
      </c>
      <c r="F11" s="183">
        <f t="shared" si="1"/>
        <v>39232.48</v>
      </c>
      <c r="G11" s="173">
        <v>310.28</v>
      </c>
      <c r="H11" s="173"/>
      <c r="I11" s="32">
        <v>311.11</v>
      </c>
      <c r="J11" s="32">
        <v>342.72</v>
      </c>
      <c r="K11" s="182">
        <f t="shared" ref="K11:K56" si="5">ROUND(D11*J11,0)</f>
        <v>38385</v>
      </c>
      <c r="L11" s="174">
        <v>22</v>
      </c>
      <c r="M11" s="174">
        <f>X11*(Z2+AC4)+AB11*AC2+AA11*AA4</f>
        <v>305.225285714286</v>
      </c>
      <c r="N11" s="174">
        <f t="shared" si="2"/>
        <v>26.1780228571429</v>
      </c>
      <c r="O11" s="174">
        <f>(L11+M11+N11)*9%</f>
        <v>31.8062977714286</v>
      </c>
      <c r="P11" s="174">
        <f>L11+M11+N11+O11</f>
        <v>385.209606342857</v>
      </c>
      <c r="Q11" s="182">
        <f t="shared" si="4"/>
        <v>327</v>
      </c>
      <c r="R11" s="182">
        <f t="shared" si="0"/>
        <v>36624</v>
      </c>
      <c r="S11" s="175" t="s">
        <v>265</v>
      </c>
      <c r="T11" s="184" t="s">
        <v>266</v>
      </c>
      <c r="U11" s="175" t="s">
        <v>267</v>
      </c>
      <c r="V11" s="175"/>
      <c r="W11" s="178" t="s">
        <v>268</v>
      </c>
      <c r="X11" s="185">
        <f>(989.8+1071+50.18+803.25+1241.94+460.6+494.9+57.82+267.75+247.45)/112</f>
        <v>50.7561607142857</v>
      </c>
      <c r="Y11" s="179">
        <f>(989.8+1071+50.18+64.48+18.76+803.25+1241.94+460.6+494.9+57.82+267.75+247.45)/112</f>
        <v>51.499375</v>
      </c>
      <c r="Z11" s="180"/>
      <c r="AA11" s="176">
        <f>(1.05+1.58)/112</f>
        <v>0.0234821428571429</v>
      </c>
      <c r="AB11" s="188">
        <f t="shared" si="3"/>
        <v>0.003</v>
      </c>
      <c r="AC11" s="176"/>
      <c r="AD11" s="176"/>
      <c r="AE11" s="176"/>
    </row>
    <row r="12" ht="129.95" customHeight="1" spans="1:36">
      <c r="A12" s="171" t="s">
        <v>278</v>
      </c>
      <c r="B12" s="172" t="s">
        <v>279</v>
      </c>
      <c r="C12" s="172" t="s">
        <v>85</v>
      </c>
      <c r="D12" s="182">
        <v>780</v>
      </c>
      <c r="E12" s="173" t="s">
        <v>280</v>
      </c>
      <c r="F12" s="183">
        <f t="shared" si="1"/>
        <v>192597.6</v>
      </c>
      <c r="G12" s="173"/>
      <c r="H12" s="173"/>
      <c r="I12" s="32">
        <v>218.45</v>
      </c>
      <c r="J12" s="31">
        <v>197</v>
      </c>
      <c r="K12" s="182">
        <v>153551</v>
      </c>
      <c r="L12" s="174">
        <v>20</v>
      </c>
      <c r="M12" s="174">
        <f>27.8985*(Z2+AC4)</f>
        <v>161.8113</v>
      </c>
      <c r="N12" s="174">
        <f t="shared" si="2"/>
        <v>14.544904</v>
      </c>
      <c r="O12" s="174">
        <f>(L12+M12+N12)*9%</f>
        <v>17.67205836</v>
      </c>
      <c r="P12" s="174">
        <f>L12+M12+N12+O12</f>
        <v>214.02826236</v>
      </c>
      <c r="Q12" s="182">
        <f t="shared" si="4"/>
        <v>182</v>
      </c>
      <c r="R12" s="182">
        <f t="shared" si="0"/>
        <v>141960</v>
      </c>
      <c r="S12" s="175" t="s">
        <v>265</v>
      </c>
      <c r="T12" s="184" t="s">
        <v>266</v>
      </c>
      <c r="U12" s="175" t="s">
        <v>267</v>
      </c>
      <c r="V12" s="175"/>
      <c r="W12" s="178" t="s">
        <v>268</v>
      </c>
      <c r="X12" s="185"/>
      <c r="Y12" s="177"/>
      <c r="Z12" s="176"/>
      <c r="AA12" s="176"/>
      <c r="AB12" s="177"/>
      <c r="AC12" s="176"/>
      <c r="AD12" s="176"/>
      <c r="AE12" s="176"/>
    </row>
    <row r="13" ht="80.1" customHeight="1" spans="1:36">
      <c r="A13" s="171" t="s">
        <v>98</v>
      </c>
      <c r="B13" s="178" t="s">
        <v>281</v>
      </c>
      <c r="C13" s="172"/>
      <c r="D13" s="182"/>
      <c r="E13" s="173"/>
      <c r="F13" s="183">
        <f t="shared" si="1"/>
        <v>0</v>
      </c>
      <c r="G13" s="173"/>
      <c r="H13" s="173"/>
      <c r="I13" s="173"/>
      <c r="J13" s="31">
        <f t="shared" ref="J13:J56" si="6">Q13*1.02</f>
        <v>0</v>
      </c>
      <c r="K13" s="182">
        <f t="shared" si="5"/>
        <v>0</v>
      </c>
      <c r="L13" s="174"/>
      <c r="M13" s="174"/>
      <c r="N13" s="174">
        <f t="shared" si="2"/>
        <v>0</v>
      </c>
      <c r="O13" s="174"/>
      <c r="P13" s="174"/>
      <c r="Q13" s="182">
        <f t="shared" si="4"/>
        <v>0</v>
      </c>
      <c r="R13" s="182">
        <f t="shared" si="0"/>
        <v>0</v>
      </c>
      <c r="S13" s="175"/>
      <c r="T13" s="175"/>
      <c r="U13" s="175"/>
      <c r="V13" s="175"/>
      <c r="W13" s="178"/>
      <c r="X13" s="185"/>
      <c r="Y13" s="177"/>
      <c r="Z13" s="176"/>
      <c r="AA13" s="176"/>
      <c r="AB13" s="177"/>
      <c r="AC13" s="176"/>
      <c r="AD13" s="176"/>
      <c r="AE13" s="176"/>
    </row>
    <row r="14" ht="129.95" customHeight="1" spans="1:36">
      <c r="A14" s="171" t="s">
        <v>78</v>
      </c>
      <c r="B14" s="172" t="s">
        <v>282</v>
      </c>
      <c r="C14" s="172" t="s">
        <v>85</v>
      </c>
      <c r="D14" s="182">
        <f>40017+2170</f>
        <v>42187</v>
      </c>
      <c r="E14" s="173" t="s">
        <v>283</v>
      </c>
      <c r="F14" s="183">
        <f t="shared" si="1"/>
        <v>11216679.56</v>
      </c>
      <c r="G14" s="173">
        <v>206.85</v>
      </c>
      <c r="H14" s="173"/>
      <c r="I14" s="32">
        <v>242.68</v>
      </c>
      <c r="J14" s="31">
        <v>224</v>
      </c>
      <c r="K14" s="182">
        <v>9466763</v>
      </c>
      <c r="L14" s="174">
        <v>20</v>
      </c>
      <c r="M14" s="174">
        <f>(Y14+Z14)*(Z2+AC4)+AB14*AC2+AA14*AA4</f>
        <v>187.438023917051</v>
      </c>
      <c r="N14" s="174">
        <f t="shared" si="2"/>
        <v>16.5950419133641</v>
      </c>
      <c r="O14" s="174">
        <f>(L14+M14+N14)*9%</f>
        <v>20.1629759247373</v>
      </c>
      <c r="P14" s="174">
        <f>L14+M14+N14+O14</f>
        <v>244.196041755152</v>
      </c>
      <c r="Q14" s="182">
        <f t="shared" si="4"/>
        <v>208</v>
      </c>
      <c r="R14" s="182">
        <f t="shared" si="0"/>
        <v>8774896</v>
      </c>
      <c r="S14" s="175" t="s">
        <v>265</v>
      </c>
      <c r="T14" s="184" t="s">
        <v>266</v>
      </c>
      <c r="U14" s="175" t="s">
        <v>267</v>
      </c>
      <c r="V14" s="175"/>
      <c r="W14" s="178" t="s">
        <v>268</v>
      </c>
      <c r="X14" s="185"/>
      <c r="Y14" s="177">
        <f>(1912.5+883.75+4.25+301+13.08+26.8+4.85+3.1+2.815+22.52+3.55+2.5+20)/100</f>
        <v>32.00715</v>
      </c>
      <c r="Z14" s="176">
        <f>(459+19.1+99.34+0.51+36.12+4.83+2.96+2.73)/2170</f>
        <v>0.287829493087558</v>
      </c>
      <c r="AA14" s="176">
        <f>0.62/2170</f>
        <v>0.000285714285714286</v>
      </c>
      <c r="AB14" s="177"/>
      <c r="AC14" s="189">
        <f>AA14*AA5*D14</f>
        <v>0</v>
      </c>
      <c r="AD14" s="176"/>
      <c r="AE14" s="176"/>
    </row>
    <row r="15" ht="39.95" customHeight="1" spans="1:36">
      <c r="A15" s="171" t="s">
        <v>258</v>
      </c>
      <c r="B15" s="178" t="s">
        <v>284</v>
      </c>
      <c r="C15" s="172"/>
      <c r="D15" s="182"/>
      <c r="E15" s="173"/>
      <c r="F15" s="183">
        <f t="shared" si="1"/>
        <v>0</v>
      </c>
      <c r="G15" s="173"/>
      <c r="H15" s="173"/>
      <c r="I15" s="32"/>
      <c r="J15" s="31">
        <f t="shared" si="6"/>
        <v>0</v>
      </c>
      <c r="K15" s="182">
        <f t="shared" si="5"/>
        <v>0</v>
      </c>
      <c r="L15" s="174"/>
      <c r="M15" s="174"/>
      <c r="N15" s="174">
        <f t="shared" si="2"/>
        <v>0</v>
      </c>
      <c r="O15" s="174"/>
      <c r="P15" s="174"/>
      <c r="Q15" s="182">
        <f t="shared" si="4"/>
        <v>0</v>
      </c>
      <c r="R15" s="182">
        <f t="shared" si="0"/>
        <v>0</v>
      </c>
      <c r="S15" s="175"/>
      <c r="T15" s="184"/>
      <c r="U15" s="175"/>
      <c r="V15" s="175"/>
      <c r="W15" s="178"/>
      <c r="X15" s="185"/>
      <c r="Y15" s="177"/>
      <c r="Z15" s="176"/>
      <c r="AA15" s="176"/>
      <c r="AB15" s="177"/>
      <c r="AC15" s="176">
        <f>SUM(AC7:AC14)</f>
        <v>0</v>
      </c>
      <c r="AD15" s="176"/>
      <c r="AE15" s="176"/>
    </row>
    <row r="16" ht="129.95" customHeight="1" spans="1:36">
      <c r="A16" s="171" t="s">
        <v>285</v>
      </c>
      <c r="B16" s="172" t="s">
        <v>286</v>
      </c>
      <c r="C16" s="172" t="s">
        <v>287</v>
      </c>
      <c r="D16" s="182">
        <f>384+112</f>
        <v>496</v>
      </c>
      <c r="E16" s="173"/>
      <c r="F16" s="183">
        <f t="shared" si="1"/>
        <v>0</v>
      </c>
      <c r="G16" s="173">
        <v>87.37</v>
      </c>
      <c r="H16" s="173"/>
      <c r="I16" s="32">
        <v>86.04</v>
      </c>
      <c r="J16" s="32">
        <v>78.54</v>
      </c>
      <c r="K16" s="182">
        <v>38956</v>
      </c>
      <c r="L16" s="174">
        <v>10</v>
      </c>
      <c r="M16" s="174">
        <f>Y16*(Z2+AC4)</f>
        <v>62.64</v>
      </c>
      <c r="N16" s="174">
        <f t="shared" si="2"/>
        <v>5.8112</v>
      </c>
      <c r="O16" s="174">
        <f>(L16+M16+N16)*9%</f>
        <v>7.060608</v>
      </c>
      <c r="P16" s="174">
        <f>L16+M16+N16+O16</f>
        <v>85.511808</v>
      </c>
      <c r="Q16" s="182">
        <f t="shared" si="4"/>
        <v>73</v>
      </c>
      <c r="R16" s="182">
        <f t="shared" si="0"/>
        <v>36208</v>
      </c>
      <c r="S16" s="175" t="s">
        <v>288</v>
      </c>
      <c r="T16" s="184" t="s">
        <v>266</v>
      </c>
      <c r="U16" s="175" t="s">
        <v>267</v>
      </c>
      <c r="V16" s="175"/>
      <c r="W16" s="178"/>
      <c r="X16" s="185"/>
      <c r="Y16" s="177">
        <v>10.8</v>
      </c>
      <c r="Z16" s="176"/>
      <c r="AA16" s="176"/>
      <c r="AB16" s="177"/>
      <c r="AC16" s="176"/>
      <c r="AD16" s="176"/>
      <c r="AE16" s="176"/>
    </row>
    <row r="17" ht="129.95" customHeight="1" spans="1:33">
      <c r="A17" s="171" t="s">
        <v>289</v>
      </c>
      <c r="B17" s="172" t="s">
        <v>290</v>
      </c>
      <c r="C17" s="172" t="s">
        <v>287</v>
      </c>
      <c r="D17" s="182">
        <f>36+1</f>
        <v>37</v>
      </c>
      <c r="E17" s="173"/>
      <c r="F17" s="183">
        <f t="shared" si="1"/>
        <v>0</v>
      </c>
      <c r="G17" s="173">
        <v>119.19</v>
      </c>
      <c r="H17" s="173"/>
      <c r="I17" s="32">
        <v>155.35</v>
      </c>
      <c r="J17" s="32">
        <v>132.6</v>
      </c>
      <c r="K17" s="182">
        <f t="shared" si="5"/>
        <v>4906</v>
      </c>
      <c r="L17" s="174">
        <v>10</v>
      </c>
      <c r="M17" s="174">
        <f>Y17*(Z2+AC4)</f>
        <v>113.1</v>
      </c>
      <c r="N17" s="174">
        <f t="shared" si="2"/>
        <v>9.848</v>
      </c>
      <c r="O17" s="174">
        <f>(L17+M17+N17)*9%</f>
        <v>11.96532</v>
      </c>
      <c r="P17" s="174">
        <f>L17+M17+N17+O17</f>
        <v>144.91332</v>
      </c>
      <c r="Q17" s="182">
        <f t="shared" si="4"/>
        <v>123</v>
      </c>
      <c r="R17" s="182">
        <f t="shared" si="0"/>
        <v>4551</v>
      </c>
      <c r="S17" s="175" t="s">
        <v>288</v>
      </c>
      <c r="T17" s="184" t="s">
        <v>266</v>
      </c>
      <c r="U17" s="175" t="s">
        <v>267</v>
      </c>
      <c r="V17" s="175"/>
      <c r="W17" s="178"/>
      <c r="X17" s="185"/>
      <c r="Y17" s="177">
        <v>19.5</v>
      </c>
      <c r="Z17" s="176"/>
      <c r="AA17" s="176"/>
      <c r="AB17" s="177"/>
      <c r="AC17" s="176"/>
      <c r="AD17" s="176"/>
      <c r="AE17" s="176"/>
    </row>
    <row r="18" ht="45" customHeight="1" spans="1:33">
      <c r="A18" s="171" t="s">
        <v>291</v>
      </c>
      <c r="B18" s="172" t="s">
        <v>292</v>
      </c>
      <c r="C18" s="172"/>
      <c r="D18" s="182"/>
      <c r="E18" s="173"/>
      <c r="F18" s="183">
        <f t="shared" si="1"/>
        <v>0</v>
      </c>
      <c r="G18" s="173"/>
      <c r="H18" s="173"/>
      <c r="I18" s="32"/>
      <c r="J18" s="31">
        <f t="shared" si="6"/>
        <v>0</v>
      </c>
      <c r="K18" s="182">
        <f t="shared" si="5"/>
        <v>0</v>
      </c>
      <c r="L18" s="174"/>
      <c r="M18" s="174"/>
      <c r="N18" s="174"/>
      <c r="O18" s="174"/>
      <c r="P18" s="174"/>
      <c r="Q18" s="182">
        <f t="shared" si="4"/>
        <v>0</v>
      </c>
      <c r="R18" s="182"/>
      <c r="S18" s="175"/>
      <c r="T18" s="184"/>
      <c r="U18" s="175"/>
      <c r="V18" s="175"/>
      <c r="W18" s="178"/>
      <c r="X18" s="192"/>
      <c r="Y18" s="192"/>
      <c r="Z18" s="192"/>
      <c r="AA18" s="192"/>
      <c r="AB18" s="192"/>
      <c r="AC18" s="192"/>
      <c r="AD18" s="192"/>
      <c r="AE18" s="192"/>
      <c r="AF18" s="147"/>
      <c r="AG18" s="147"/>
    </row>
    <row r="19" ht="45" customHeight="1" spans="1:33">
      <c r="A19" s="171" t="s">
        <v>293</v>
      </c>
      <c r="B19" s="172" t="s">
        <v>294</v>
      </c>
      <c r="C19" s="172"/>
      <c r="D19" s="182"/>
      <c r="E19" s="173"/>
      <c r="F19" s="183">
        <f t="shared" si="1"/>
        <v>0</v>
      </c>
      <c r="G19" s="173"/>
      <c r="H19" s="173"/>
      <c r="I19" s="32"/>
      <c r="J19" s="31">
        <f t="shared" si="6"/>
        <v>0</v>
      </c>
      <c r="K19" s="182">
        <f t="shared" si="5"/>
        <v>0</v>
      </c>
      <c r="L19" s="174"/>
      <c r="M19" s="174"/>
      <c r="N19" s="174"/>
      <c r="O19" s="174"/>
      <c r="P19" s="174"/>
      <c r="Q19" s="182">
        <f t="shared" si="4"/>
        <v>0</v>
      </c>
      <c r="R19" s="182"/>
      <c r="S19" s="175"/>
      <c r="T19" s="184"/>
      <c r="U19" s="175"/>
      <c r="V19" s="175"/>
      <c r="W19" s="178"/>
      <c r="X19" s="169" t="s">
        <v>295</v>
      </c>
      <c r="Y19" s="176" t="s">
        <v>222</v>
      </c>
      <c r="Z19" s="177" t="s">
        <v>235</v>
      </c>
      <c r="AA19" s="176" t="s">
        <v>223</v>
      </c>
      <c r="AB19" s="176" t="s">
        <v>236</v>
      </c>
      <c r="AC19" s="176" t="s">
        <v>196</v>
      </c>
      <c r="AD19" s="176" t="s">
        <v>226</v>
      </c>
      <c r="AE19" s="176" t="s">
        <v>225</v>
      </c>
    </row>
    <row r="20" ht="111" customHeight="1" spans="1:33">
      <c r="A20" s="171" t="s">
        <v>94</v>
      </c>
      <c r="B20" s="172" t="s">
        <v>296</v>
      </c>
      <c r="C20" s="172" t="s">
        <v>287</v>
      </c>
      <c r="D20" s="182">
        <v>10</v>
      </c>
      <c r="E20" s="173" t="s">
        <v>297</v>
      </c>
      <c r="F20" s="183">
        <f t="shared" si="1"/>
        <v>18273</v>
      </c>
      <c r="G20" s="193" t="s">
        <v>298</v>
      </c>
      <c r="H20" s="173"/>
      <c r="I20" s="32" t="s">
        <v>299</v>
      </c>
      <c r="J20" s="31">
        <v>1142</v>
      </c>
      <c r="K20" s="182">
        <v>11424</v>
      </c>
      <c r="L20" s="174">
        <v>175</v>
      </c>
      <c r="M20" s="174">
        <f>X20*(Z2+AC4)+Y20*(Z2+AD4)+Z20*Z4+AB20*AB4+AD20*AD2+AE20*AC2+AA20*AA2+AC20*AA4</f>
        <v>1421.5361</v>
      </c>
      <c r="N20" s="173">
        <f>(L20+M20)*8%</f>
        <v>127.722888</v>
      </c>
      <c r="O20" s="173">
        <f>(L20+M20+N20)*9%</f>
        <v>155.18330892</v>
      </c>
      <c r="P20" s="173">
        <f>L20+M20+N20+O20</f>
        <v>1879.44229692</v>
      </c>
      <c r="Q20" s="182">
        <f t="shared" si="4"/>
        <v>1598</v>
      </c>
      <c r="R20" s="173">
        <f>ROUND(D20*Q20,0)</f>
        <v>15980</v>
      </c>
      <c r="S20" s="184" t="s">
        <v>273</v>
      </c>
      <c r="T20" s="184"/>
      <c r="U20" s="175"/>
      <c r="V20" s="175"/>
      <c r="W20" s="178"/>
      <c r="X20" s="185">
        <f>269/10</f>
        <v>26.9</v>
      </c>
      <c r="Y20" s="176">
        <f>(13.64+9.09+231.7+52.65+308.94+8.4)/10</f>
        <v>62.442</v>
      </c>
      <c r="Z20" s="177">
        <f>(34.1+18.17)/10</f>
        <v>5.227</v>
      </c>
      <c r="AA20" s="176">
        <f>(165.2+59.2)/10</f>
        <v>22.44</v>
      </c>
      <c r="AB20" s="176">
        <f>(5.37+2.77+5.27+82.78)/10</f>
        <v>9.619</v>
      </c>
      <c r="AC20" s="176">
        <f>10/10</f>
        <v>1</v>
      </c>
      <c r="AD20" s="176">
        <f>2/10</f>
        <v>0.2</v>
      </c>
      <c r="AE20" s="176">
        <f>7.8/10</f>
        <v>0.78</v>
      </c>
    </row>
    <row r="21" ht="90" customHeight="1" spans="1:33">
      <c r="A21" s="171" t="s">
        <v>98</v>
      </c>
      <c r="B21" s="172" t="s">
        <v>300</v>
      </c>
      <c r="C21" s="172" t="s">
        <v>287</v>
      </c>
      <c r="D21" s="182">
        <v>1</v>
      </c>
      <c r="E21" s="173" t="s">
        <v>301</v>
      </c>
      <c r="F21" s="183">
        <f t="shared" si="1"/>
        <v>1474.68</v>
      </c>
      <c r="G21" s="193" t="s">
        <v>302</v>
      </c>
      <c r="H21" s="173"/>
      <c r="I21" s="32" t="s">
        <v>303</v>
      </c>
      <c r="J21" s="31">
        <v>910</v>
      </c>
      <c r="K21" s="182">
        <v>910</v>
      </c>
      <c r="L21" s="174">
        <v>175</v>
      </c>
      <c r="M21" s="174">
        <f>X21*(Z2+AC4)+Y21*(Z2+AD4)+Z21*Z4+AB21*AB4+AD21*AD2+AE21*AC2+AA21*AA2+AC21*AA4</f>
        <v>1206.038</v>
      </c>
      <c r="N21" s="173">
        <f t="shared" ref="N21:N56" si="7">(L21+M21)*8%</f>
        <v>110.48304</v>
      </c>
      <c r="O21" s="173">
        <f t="shared" ref="O21:O56" si="8">(L21+M21+N21)*9%</f>
        <v>134.2368936</v>
      </c>
      <c r="P21" s="173">
        <f t="shared" ref="P21:P56" si="9">L21+M21+N21+O21</f>
        <v>1625.7579336</v>
      </c>
      <c r="Q21" s="182">
        <f t="shared" si="4"/>
        <v>1382</v>
      </c>
      <c r="R21" s="173">
        <f>ROUND(D21*Q21,0)</f>
        <v>1382</v>
      </c>
      <c r="S21" s="184" t="s">
        <v>273</v>
      </c>
      <c r="T21" s="184"/>
      <c r="U21" s="175"/>
      <c r="V21" s="175"/>
      <c r="W21" s="178"/>
      <c r="X21" s="185">
        <v>34.08</v>
      </c>
      <c r="Y21" s="176">
        <f>1.25+0.96+10.08+7.07+7.07+0.15</f>
        <v>26.58</v>
      </c>
      <c r="Z21" s="177">
        <f>2.33+2.58</f>
        <v>4.91</v>
      </c>
      <c r="AA21" s="176">
        <f>16.52+5.92</f>
        <v>22.44</v>
      </c>
      <c r="AB21" s="176">
        <f>2.58+0.18+0.5+8.28</f>
        <v>11.54</v>
      </c>
      <c r="AC21" s="176">
        <v>1</v>
      </c>
      <c r="AD21" s="176">
        <v>0.2</v>
      </c>
      <c r="AE21" s="176">
        <v>0.5</v>
      </c>
    </row>
    <row r="22" ht="90" customHeight="1" spans="1:33">
      <c r="A22" s="171" t="s">
        <v>50</v>
      </c>
      <c r="B22" s="172" t="s">
        <v>304</v>
      </c>
      <c r="C22" s="172" t="s">
        <v>287</v>
      </c>
      <c r="D22" s="182">
        <v>57</v>
      </c>
      <c r="E22" s="173" t="s">
        <v>305</v>
      </c>
      <c r="F22" s="183">
        <f t="shared" si="1"/>
        <v>114489.63</v>
      </c>
      <c r="G22" s="193"/>
      <c r="H22" s="173"/>
      <c r="I22" s="32"/>
      <c r="J22" s="31">
        <v>1381</v>
      </c>
      <c r="K22" s="182">
        <v>78722</v>
      </c>
      <c r="L22" s="174">
        <v>175</v>
      </c>
      <c r="M22" s="174">
        <f>X22*(Z2+AC4)+Y22*(Z2+AD4)+Z22*Z4+AB22*AB4+AD22*AD2+AE22*AC2+AA22*AA2+AC22*AA4</f>
        <v>1641.94073684211</v>
      </c>
      <c r="N22" s="173">
        <f t="shared" si="7"/>
        <v>145.355258947368</v>
      </c>
      <c r="O22" s="173">
        <f t="shared" si="8"/>
        <v>176.606639621053</v>
      </c>
      <c r="P22" s="173">
        <f t="shared" si="9"/>
        <v>2138.90263541053</v>
      </c>
      <c r="Q22" s="182">
        <f t="shared" si="4"/>
        <v>1818</v>
      </c>
      <c r="R22" s="173">
        <f t="shared" ref="R22:R56" si="10">ROUND(D22*Q22,0)</f>
        <v>103626</v>
      </c>
      <c r="S22" s="184" t="s">
        <v>273</v>
      </c>
      <c r="T22" s="184"/>
      <c r="U22" s="175"/>
      <c r="V22" s="175"/>
      <c r="W22" s="178"/>
      <c r="X22" s="185">
        <f>2128.95/57</f>
        <v>37.35</v>
      </c>
      <c r="Y22" s="176">
        <f>(207.31+152.13+1434.92+235.52+1379.69+70.45)/57</f>
        <v>61.0529824561403</v>
      </c>
      <c r="Z22" s="177">
        <f>(294.23+229.37)/57</f>
        <v>9.1859649122807</v>
      </c>
      <c r="AA22" s="176">
        <f>(941.64+337.44)/57</f>
        <v>22.44</v>
      </c>
      <c r="AB22" s="176">
        <f>(53.98+107.96+31.75+471.85)/57</f>
        <v>11.6761403508772</v>
      </c>
      <c r="AC22" s="176">
        <v>1</v>
      </c>
      <c r="AD22" s="176">
        <f>11.4/57</f>
        <v>0.2</v>
      </c>
      <c r="AE22" s="176">
        <f>73.1/57</f>
        <v>1.28245614035088</v>
      </c>
    </row>
    <row r="23" ht="90" customHeight="1" spans="1:33">
      <c r="A23" s="171" t="s">
        <v>56</v>
      </c>
      <c r="B23" s="172" t="s">
        <v>306</v>
      </c>
      <c r="C23" s="172" t="s">
        <v>287</v>
      </c>
      <c r="D23" s="182">
        <v>12</v>
      </c>
      <c r="E23" s="173" t="s">
        <v>307</v>
      </c>
      <c r="F23" s="183">
        <f t="shared" si="1"/>
        <v>20246.64</v>
      </c>
      <c r="G23" s="193"/>
      <c r="H23" s="173"/>
      <c r="I23" s="32"/>
      <c r="J23" s="31">
        <v>1419</v>
      </c>
      <c r="K23" s="182">
        <v>17026</v>
      </c>
      <c r="L23" s="174">
        <v>175</v>
      </c>
      <c r="M23" s="174">
        <f>X23*(Z2+AC4)+Y23*(Z2+AD4)+Z23*Z4+AB23*AB4+AD23*AD2+AE23*AC2+AA23*AA2+AC23*AA4</f>
        <v>1676.75766666667</v>
      </c>
      <c r="N23" s="173">
        <f t="shared" si="7"/>
        <v>148.140613333333</v>
      </c>
      <c r="O23" s="173">
        <f t="shared" si="8"/>
        <v>179.9908452</v>
      </c>
      <c r="P23" s="173">
        <f t="shared" si="9"/>
        <v>2179.8891252</v>
      </c>
      <c r="Q23" s="182">
        <f t="shared" si="4"/>
        <v>1853</v>
      </c>
      <c r="R23" s="173">
        <f t="shared" si="10"/>
        <v>22236</v>
      </c>
      <c r="S23" s="184" t="s">
        <v>273</v>
      </c>
      <c r="T23" s="184"/>
      <c r="U23" s="175"/>
      <c r="V23" s="175"/>
      <c r="W23" s="178"/>
      <c r="X23" s="185">
        <f>448.19/12</f>
        <v>37.3491666666667</v>
      </c>
      <c r="Y23" s="176">
        <f>(43.64+32.03+302.09+49.58+290.46+14.83)/12</f>
        <v>61.0525</v>
      </c>
      <c r="Z23" s="177">
        <f>(81.84+48.29)/12</f>
        <v>10.8441666666667</v>
      </c>
      <c r="AA23" s="176">
        <f>(198.24+71.04)/12</f>
        <v>22.44</v>
      </c>
      <c r="AB23" s="176">
        <f>(11.36+22.73+6.68+99.34)/12</f>
        <v>11.6758333333333</v>
      </c>
      <c r="AC23" s="176">
        <v>1</v>
      </c>
      <c r="AD23" s="176">
        <f>2.4/12</f>
        <v>0.2</v>
      </c>
      <c r="AE23" s="176">
        <f>15.39/12</f>
        <v>1.2825</v>
      </c>
    </row>
    <row r="24" ht="90" customHeight="1" spans="1:33">
      <c r="A24" s="171" t="s">
        <v>62</v>
      </c>
      <c r="B24" s="172" t="s">
        <v>308</v>
      </c>
      <c r="C24" s="172" t="s">
        <v>287</v>
      </c>
      <c r="D24" s="182">
        <v>56</v>
      </c>
      <c r="E24" s="173" t="s">
        <v>309</v>
      </c>
      <c r="F24" s="183">
        <f t="shared" si="1"/>
        <v>103670</v>
      </c>
      <c r="G24" s="193"/>
      <c r="H24" s="173"/>
      <c r="I24" s="32"/>
      <c r="J24" s="31">
        <v>1156</v>
      </c>
      <c r="K24" s="182">
        <v>64717</v>
      </c>
      <c r="L24" s="174">
        <v>175</v>
      </c>
      <c r="M24" s="174">
        <f>X24*(Z2+AC4)+Y24*(Z2+AD4)+Z24*Z4+AB24*AB4+AD24*AD2+AE24*AC2+AA24*AA2+AC24*AA4</f>
        <v>1433.71846428571</v>
      </c>
      <c r="N24" s="173">
        <f t="shared" si="7"/>
        <v>128.697477142857</v>
      </c>
      <c r="O24" s="173">
        <f t="shared" si="8"/>
        <v>156.367434728571</v>
      </c>
      <c r="P24" s="173">
        <f t="shared" si="9"/>
        <v>1893.78337615714</v>
      </c>
      <c r="Q24" s="182">
        <f t="shared" si="4"/>
        <v>1610</v>
      </c>
      <c r="R24" s="173">
        <f t="shared" si="10"/>
        <v>90160</v>
      </c>
      <c r="S24" s="184" t="s">
        <v>273</v>
      </c>
      <c r="T24" s="184"/>
      <c r="U24" s="175"/>
      <c r="V24" s="175"/>
      <c r="W24" s="178"/>
      <c r="X24" s="185">
        <f>1543.81/56</f>
        <v>27.5680357142857</v>
      </c>
      <c r="Y24" s="176">
        <f>(98.45+72.91+1409.74+231.39+1355.48+69.22)/56</f>
        <v>57.8069642857143</v>
      </c>
      <c r="Z24" s="177">
        <f>(331.07+46.76)/56</f>
        <v>6.74696428571429</v>
      </c>
      <c r="AA24" s="176">
        <f>(925.12+331.52)/56</f>
        <v>22.44</v>
      </c>
      <c r="AB24" s="176">
        <f>(53.03+33.38+31.19+463.57)/56</f>
        <v>10.3780357142857</v>
      </c>
      <c r="AC24" s="176">
        <v>1</v>
      </c>
      <c r="AD24" s="176">
        <f>11.2/56</f>
        <v>0.2</v>
      </c>
      <c r="AE24" s="176">
        <f>43.25/56</f>
        <v>0.772321428571429</v>
      </c>
    </row>
    <row r="25" ht="90" customHeight="1" spans="1:33">
      <c r="A25" s="171" t="s">
        <v>310</v>
      </c>
      <c r="B25" s="172" t="s">
        <v>311</v>
      </c>
      <c r="C25" s="172" t="s">
        <v>287</v>
      </c>
      <c r="D25" s="182">
        <v>3</v>
      </c>
      <c r="E25" s="173" t="s">
        <v>312</v>
      </c>
      <c r="F25" s="183">
        <f t="shared" si="1"/>
        <v>6258.09</v>
      </c>
      <c r="G25" s="193"/>
      <c r="H25" s="173"/>
      <c r="I25" s="32"/>
      <c r="J25" s="31">
        <v>1789</v>
      </c>
      <c r="K25" s="182">
        <f t="shared" si="5"/>
        <v>5367</v>
      </c>
      <c r="L25" s="174">
        <v>175</v>
      </c>
      <c r="M25" s="174">
        <f>X25*(Z2+AC4)+Y25*(Z2+AD4)+Z25*Z4+AB25*AB4+AD25*AD2+AE25*AC2+AA25*AA2+AC25*AA4</f>
        <v>2019.529</v>
      </c>
      <c r="N25" s="173">
        <f t="shared" si="7"/>
        <v>175.56232</v>
      </c>
      <c r="O25" s="173">
        <f t="shared" si="8"/>
        <v>213.3082188</v>
      </c>
      <c r="P25" s="173">
        <f t="shared" si="9"/>
        <v>2583.3995388</v>
      </c>
      <c r="Q25" s="182">
        <f t="shared" si="4"/>
        <v>2196</v>
      </c>
      <c r="R25" s="173">
        <f t="shared" si="10"/>
        <v>6588</v>
      </c>
      <c r="S25" s="184" t="s">
        <v>273</v>
      </c>
      <c r="T25" s="184"/>
      <c r="U25" s="175"/>
      <c r="V25" s="175"/>
      <c r="W25" s="178"/>
      <c r="X25" s="185">
        <f>131.42/3</f>
        <v>43.8066666666667</v>
      </c>
      <c r="Y25" s="176">
        <f>(4.84+3.91+75.52+12.4+72.62+3.71)/3</f>
        <v>57.6666666666667</v>
      </c>
      <c r="Z25" s="177">
        <f>(57.08+11.84)/3</f>
        <v>22.9733333333333</v>
      </c>
      <c r="AA25" s="176">
        <f>(49.56+17.76)/3</f>
        <v>22.44</v>
      </c>
      <c r="AB25" s="176">
        <f>(2.84+1.79+1.67+24.83)/3</f>
        <v>10.3766666666667</v>
      </c>
      <c r="AC25" s="176">
        <v>1</v>
      </c>
      <c r="AD25" s="176">
        <v>0.2</v>
      </c>
      <c r="AE25" s="176">
        <f>5.82/3</f>
        <v>1.94</v>
      </c>
    </row>
    <row r="26" ht="90" customHeight="1" spans="1:33">
      <c r="A26" s="171" t="s">
        <v>313</v>
      </c>
      <c r="B26" s="172" t="s">
        <v>314</v>
      </c>
      <c r="C26" s="172" t="s">
        <v>287</v>
      </c>
      <c r="D26" s="182">
        <v>4</v>
      </c>
      <c r="E26" s="173" t="s">
        <v>315</v>
      </c>
      <c r="F26" s="183">
        <f t="shared" si="1"/>
        <v>11833.96</v>
      </c>
      <c r="G26" s="193"/>
      <c r="H26" s="173"/>
      <c r="I26" s="32"/>
      <c r="J26" s="31">
        <v>2119</v>
      </c>
      <c r="K26" s="182">
        <v>8474</v>
      </c>
      <c r="L26" s="174">
        <v>175</v>
      </c>
      <c r="M26" s="174">
        <f>X26*(Z2+AC4)+Y26*(Z2+AD4)+Z26*Z4+AB26*AB4+AD26*AD2+AE26*AC2+AA26*AA2+AC26*AA4</f>
        <v>2324.6935</v>
      </c>
      <c r="N26" s="173">
        <f t="shared" si="7"/>
        <v>199.97548</v>
      </c>
      <c r="O26" s="173">
        <f t="shared" si="8"/>
        <v>242.9702082</v>
      </c>
      <c r="P26" s="173">
        <f t="shared" si="9"/>
        <v>2942.6391882</v>
      </c>
      <c r="Q26" s="182">
        <f t="shared" si="4"/>
        <v>2501</v>
      </c>
      <c r="R26" s="173">
        <f t="shared" si="10"/>
        <v>10004</v>
      </c>
      <c r="S26" s="184" t="s">
        <v>273</v>
      </c>
      <c r="T26" s="184"/>
      <c r="U26" s="175"/>
      <c r="V26" s="175"/>
      <c r="W26" s="178"/>
      <c r="X26" s="185">
        <f>290.9/6</f>
        <v>48.4833333333333</v>
      </c>
      <c r="Y26" s="177">
        <f>(19.36+12.48+151.04+24.79+145.23+7.42)/6</f>
        <v>60.0533333333333</v>
      </c>
      <c r="Z26" s="176">
        <f>(144.46+31.24)/6</f>
        <v>29.2833333333333</v>
      </c>
      <c r="AA26" s="176">
        <f>(99.12+35.52)/6</f>
        <v>22.44</v>
      </c>
      <c r="AB26" s="176">
        <f>(5.68+3.58+3.34+49.67)/6</f>
        <v>10.3783333333333</v>
      </c>
      <c r="AC26" s="176">
        <v>1</v>
      </c>
      <c r="AD26" s="176">
        <v>0.2</v>
      </c>
      <c r="AE26" s="177">
        <f>17.64/6</f>
        <v>2.94</v>
      </c>
    </row>
    <row r="27" ht="48.75" customHeight="1" spans="1:33">
      <c r="A27" s="171" t="s">
        <v>316</v>
      </c>
      <c r="B27" s="172" t="s">
        <v>317</v>
      </c>
      <c r="C27" s="172"/>
      <c r="D27" s="182"/>
      <c r="E27" s="173"/>
      <c r="F27" s="183">
        <f t="shared" si="1"/>
        <v>0</v>
      </c>
      <c r="G27" s="193"/>
      <c r="H27" s="173"/>
      <c r="I27" s="32"/>
      <c r="J27" s="31">
        <f t="shared" si="6"/>
        <v>0</v>
      </c>
      <c r="K27" s="182">
        <f t="shared" si="5"/>
        <v>0</v>
      </c>
      <c r="L27" s="174"/>
      <c r="M27" s="174"/>
      <c r="N27" s="173">
        <f t="shared" si="7"/>
        <v>0</v>
      </c>
      <c r="O27" s="173">
        <f t="shared" si="8"/>
        <v>0</v>
      </c>
      <c r="P27" s="173">
        <f t="shared" si="9"/>
        <v>0</v>
      </c>
      <c r="Q27" s="182">
        <f t="shared" si="4"/>
        <v>0</v>
      </c>
      <c r="R27" s="173">
        <f t="shared" si="10"/>
        <v>0</v>
      </c>
      <c r="S27" s="175"/>
      <c r="T27" s="184"/>
      <c r="U27" s="175"/>
      <c r="V27" s="175"/>
      <c r="W27" s="178"/>
      <c r="X27" s="169" t="s">
        <v>295</v>
      </c>
      <c r="Y27" s="176" t="s">
        <v>222</v>
      </c>
      <c r="Z27" s="177" t="s">
        <v>235</v>
      </c>
      <c r="AA27" s="176" t="s">
        <v>223</v>
      </c>
      <c r="AB27" s="176" t="s">
        <v>236</v>
      </c>
      <c r="AC27" s="176" t="s">
        <v>196</v>
      </c>
      <c r="AD27" s="176" t="s">
        <v>226</v>
      </c>
      <c r="AE27" s="176" t="s">
        <v>225</v>
      </c>
    </row>
    <row r="28" ht="90" customHeight="1" spans="1:33">
      <c r="A28" s="171" t="s">
        <v>94</v>
      </c>
      <c r="B28" s="172" t="s">
        <v>318</v>
      </c>
      <c r="C28" s="172" t="s">
        <v>287</v>
      </c>
      <c r="D28" s="182">
        <v>1</v>
      </c>
      <c r="E28" s="173" t="s">
        <v>319</v>
      </c>
      <c r="F28" s="183">
        <f t="shared" si="1"/>
        <v>34000.69</v>
      </c>
      <c r="G28" s="193"/>
      <c r="H28" s="193"/>
      <c r="I28" s="32"/>
      <c r="J28" s="31">
        <v>19418</v>
      </c>
      <c r="K28" s="182">
        <f t="shared" si="5"/>
        <v>19418</v>
      </c>
      <c r="L28" s="174">
        <v>2100</v>
      </c>
      <c r="M28" s="174">
        <f>X28*(Z2+AC4)+Y28*(Z2+AD4)+Z28*Z4+AB28*AB4+AD28*AD2+AE28*AC2+AA28*AA2+AC28*AA4</f>
        <v>29942.347</v>
      </c>
      <c r="N28" s="173">
        <f t="shared" si="7"/>
        <v>2563.38776</v>
      </c>
      <c r="O28" s="173">
        <f t="shared" si="8"/>
        <v>3114.5161284</v>
      </c>
      <c r="P28" s="173">
        <f t="shared" si="9"/>
        <v>37720.2508884</v>
      </c>
      <c r="Q28" s="182">
        <f t="shared" si="4"/>
        <v>32062</v>
      </c>
      <c r="R28" s="173">
        <f t="shared" si="10"/>
        <v>32062</v>
      </c>
      <c r="S28" s="184" t="s">
        <v>273</v>
      </c>
      <c r="T28" s="184"/>
      <c r="U28" s="175"/>
      <c r="V28" s="184"/>
      <c r="W28" s="178"/>
      <c r="X28" s="176">
        <f>(904.4+302.68)/1</f>
        <v>1207.08</v>
      </c>
      <c r="Y28" s="176">
        <f>30.6+20.69+1.25+0.61+31.35+115.69+77.13+4.02</f>
        <v>281.34</v>
      </c>
      <c r="Z28" s="176">
        <f>126.55+48.68</f>
        <v>175.23</v>
      </c>
      <c r="AA28" s="176">
        <f>195.36+295.01</f>
        <v>490.37</v>
      </c>
      <c r="AB28" s="176">
        <f>48.68+3.58+78.26+5.59</f>
        <v>136.11</v>
      </c>
      <c r="AC28" s="177">
        <v>27</v>
      </c>
      <c r="AD28" s="176">
        <v>1.09</v>
      </c>
      <c r="AE28" s="176">
        <v>14.88</v>
      </c>
    </row>
    <row r="29" ht="90" customHeight="1" spans="1:33">
      <c r="A29" s="171" t="s">
        <v>98</v>
      </c>
      <c r="B29" s="172" t="s">
        <v>320</v>
      </c>
      <c r="C29" s="172" t="s">
        <v>287</v>
      </c>
      <c r="D29" s="182">
        <v>2</v>
      </c>
      <c r="E29" s="173" t="s">
        <v>321</v>
      </c>
      <c r="F29" s="183">
        <f t="shared" si="1"/>
        <v>59923.42</v>
      </c>
      <c r="G29" s="193"/>
      <c r="H29" s="193"/>
      <c r="I29" s="32"/>
      <c r="J29" s="31">
        <v>16012</v>
      </c>
      <c r="K29" s="182">
        <f t="shared" si="5"/>
        <v>32024</v>
      </c>
      <c r="L29" s="174">
        <v>2100</v>
      </c>
      <c r="M29" s="174">
        <f>X29*(Z2+AC4)+Y29*(Z2+AD4)+Z29*Z4+AB29*AB4+AD29*AD2+AE29*AC2+AA29*AA2+AC29*AA4</f>
        <v>22730.5185</v>
      </c>
      <c r="N29" s="173">
        <f t="shared" si="7"/>
        <v>1986.44148</v>
      </c>
      <c r="O29" s="173">
        <f t="shared" si="8"/>
        <v>2413.5263982</v>
      </c>
      <c r="P29" s="173">
        <f t="shared" si="9"/>
        <v>29230.4863782</v>
      </c>
      <c r="Q29" s="182">
        <f t="shared" si="4"/>
        <v>24846</v>
      </c>
      <c r="R29" s="173">
        <f t="shared" si="10"/>
        <v>49692</v>
      </c>
      <c r="S29" s="184" t="s">
        <v>273</v>
      </c>
      <c r="T29" s="184"/>
      <c r="U29" s="175"/>
      <c r="V29" s="184"/>
      <c r="W29" s="178"/>
      <c r="X29" s="176">
        <f>(1316.2+564.15)/2</f>
        <v>940.175</v>
      </c>
      <c r="Y29" s="176">
        <f>(49.04+31.98+1.06+1.21+62.71+231.38+154.25+8.04)/2</f>
        <v>269.835</v>
      </c>
      <c r="Z29" s="176">
        <f>(190.87+70.8)/2</f>
        <v>130.835</v>
      </c>
      <c r="AA29" s="176">
        <f>(323.24+472.02)/2</f>
        <v>397.63</v>
      </c>
      <c r="AB29" s="176">
        <f>(70.8+7.15+156.92+11.23)/2</f>
        <v>123.05</v>
      </c>
      <c r="AC29" s="177">
        <f>37.5/2</f>
        <v>18.75</v>
      </c>
      <c r="AD29" s="176">
        <f>2.59/2</f>
        <v>1.295</v>
      </c>
      <c r="AE29" s="176">
        <f>22.36/2</f>
        <v>11.18</v>
      </c>
    </row>
    <row r="30" ht="90" customHeight="1" spans="1:33">
      <c r="A30" s="171" t="s">
        <v>50</v>
      </c>
      <c r="B30" s="172" t="s">
        <v>322</v>
      </c>
      <c r="C30" s="172" t="s">
        <v>287</v>
      </c>
      <c r="D30" s="182">
        <v>1</v>
      </c>
      <c r="E30" s="173" t="s">
        <v>323</v>
      </c>
      <c r="F30" s="183">
        <f t="shared" si="1"/>
        <v>32865.6</v>
      </c>
      <c r="G30" s="193"/>
      <c r="H30" s="193"/>
      <c r="I30" s="32"/>
      <c r="J30" s="31">
        <v>18527</v>
      </c>
      <c r="K30" s="182">
        <f t="shared" si="5"/>
        <v>18527</v>
      </c>
      <c r="L30" s="174">
        <v>2100</v>
      </c>
      <c r="M30" s="174">
        <f>X30*(Z2+AC4)+Y30*(Z2+AD4)+Z30*Z4+AB30*AB4+AD30*AD2+AE30*AC2+AA30*AA2+AC30*AA4</f>
        <v>25057.967</v>
      </c>
      <c r="N30" s="173">
        <f t="shared" si="7"/>
        <v>2172.63736</v>
      </c>
      <c r="O30" s="173">
        <f t="shared" si="8"/>
        <v>2639.7543924</v>
      </c>
      <c r="P30" s="173">
        <f t="shared" si="9"/>
        <v>31970.3587524</v>
      </c>
      <c r="Q30" s="182">
        <f t="shared" si="4"/>
        <v>27175</v>
      </c>
      <c r="R30" s="173">
        <f t="shared" si="10"/>
        <v>27175</v>
      </c>
      <c r="S30" s="184" t="s">
        <v>273</v>
      </c>
      <c r="T30" s="184"/>
      <c r="U30" s="175"/>
      <c r="V30" s="184"/>
      <c r="W30" s="178"/>
      <c r="X30" s="176">
        <f>842.01+251.04</f>
        <v>1093.05</v>
      </c>
      <c r="Y30" s="176">
        <f>25.5+17.24+1.06+0.61+31.35+115.69+77.13+4.02</f>
        <v>272.6</v>
      </c>
      <c r="Z30" s="176">
        <f>125.34+49.78</f>
        <v>175.12</v>
      </c>
      <c r="AA30" s="176">
        <f>161.62+236.01</f>
        <v>397.63</v>
      </c>
      <c r="AB30" s="176">
        <f>35.4+5.92+78.46+5.61</f>
        <v>125.39</v>
      </c>
      <c r="AC30" s="177">
        <f>18.75</f>
        <v>18.75</v>
      </c>
      <c r="AD30" s="176">
        <v>1.3</v>
      </c>
      <c r="AE30" s="176">
        <v>14.79</v>
      </c>
    </row>
    <row r="31" ht="90" customHeight="1" spans="1:33">
      <c r="A31" s="171" t="s">
        <v>56</v>
      </c>
      <c r="B31" s="172" t="s">
        <v>324</v>
      </c>
      <c r="C31" s="172" t="s">
        <v>287</v>
      </c>
      <c r="D31" s="182">
        <f>7+2</f>
        <v>9</v>
      </c>
      <c r="E31" s="173" t="s">
        <v>325</v>
      </c>
      <c r="F31" s="183">
        <f t="shared" si="1"/>
        <v>266245.47</v>
      </c>
      <c r="G31" s="193"/>
      <c r="H31" s="193"/>
      <c r="I31" s="32"/>
      <c r="J31" s="31">
        <v>15689</v>
      </c>
      <c r="K31" s="182">
        <v>141198</v>
      </c>
      <c r="L31" s="174">
        <v>2100</v>
      </c>
      <c r="M31" s="174">
        <f>X31*(Z2+AC4)+Y31*(Z2+AD4)+Z31*Z4+AB31*AB4+AD31*AD2+AE31*AC2+AA31*AA2+AC31*AA4</f>
        <v>22430.962</v>
      </c>
      <c r="N31" s="173">
        <f t="shared" si="7"/>
        <v>1962.47696</v>
      </c>
      <c r="O31" s="173">
        <f t="shared" si="8"/>
        <v>2384.4095064</v>
      </c>
      <c r="P31" s="173">
        <f t="shared" si="9"/>
        <v>28877.8484664</v>
      </c>
      <c r="Q31" s="182">
        <f t="shared" si="4"/>
        <v>24546</v>
      </c>
      <c r="R31" s="173">
        <f t="shared" si="10"/>
        <v>220914</v>
      </c>
      <c r="S31" s="184" t="s">
        <v>273</v>
      </c>
      <c r="T31" s="184"/>
      <c r="U31" s="175"/>
      <c r="V31" s="184"/>
      <c r="W31" s="178"/>
      <c r="X31" s="176">
        <f>(6039.56+1287.35)/8</f>
        <v>915.86375</v>
      </c>
      <c r="Y31" s="176">
        <f>(204.02+82.76+8.46+4.86+250.83+925.51+617.01+32.14)/8</f>
        <v>265.69875</v>
      </c>
      <c r="Z31" s="176">
        <f>(731.64+278.79)/8</f>
        <v>126.30375</v>
      </c>
      <c r="AA31" s="176">
        <f>(1292.96+1888.08)/8</f>
        <v>397.63</v>
      </c>
      <c r="AB31" s="176">
        <f>(283.22+47.36+627.67+44.9)/8</f>
        <v>125.39375</v>
      </c>
      <c r="AC31" s="177">
        <f>150/8</f>
        <v>18.75</v>
      </c>
      <c r="AD31" s="176">
        <f>10.37/8</f>
        <v>1.29625</v>
      </c>
      <c r="AE31" s="176">
        <f>85.76/8</f>
        <v>10.72</v>
      </c>
    </row>
    <row r="32" ht="90" customHeight="1" spans="1:33">
      <c r="A32" s="171" t="s">
        <v>62</v>
      </c>
      <c r="B32" s="172" t="s">
        <v>326</v>
      </c>
      <c r="C32" s="172" t="s">
        <v>287</v>
      </c>
      <c r="D32" s="182">
        <v>2</v>
      </c>
      <c r="E32" s="173" t="s">
        <v>327</v>
      </c>
      <c r="F32" s="183">
        <f t="shared" si="1"/>
        <v>63122.36</v>
      </c>
      <c r="G32" s="193"/>
      <c r="H32" s="193"/>
      <c r="I32" s="32"/>
      <c r="J32" s="31">
        <v>17265</v>
      </c>
      <c r="K32" s="182">
        <v>34529</v>
      </c>
      <c r="L32" s="174">
        <v>2100</v>
      </c>
      <c r="M32" s="174">
        <f>X32*(Z2+AC4)+Y32*(Z2+AD4)+Z32*Z4+AB32*AB4+AD32*AD2+AE32*AC2+AA32*AA2+AC32*AA4</f>
        <v>23889.909</v>
      </c>
      <c r="N32" s="173">
        <f t="shared" si="7"/>
        <v>2079.19272</v>
      </c>
      <c r="O32" s="173">
        <f t="shared" si="8"/>
        <v>2526.2191548</v>
      </c>
      <c r="P32" s="173">
        <f t="shared" si="9"/>
        <v>30595.3208748</v>
      </c>
      <c r="Q32" s="182">
        <f t="shared" si="4"/>
        <v>26006</v>
      </c>
      <c r="R32" s="173">
        <f t="shared" si="10"/>
        <v>52012</v>
      </c>
      <c r="S32" s="184" t="s">
        <v>273</v>
      </c>
      <c r="T32" s="184"/>
      <c r="U32" s="175"/>
      <c r="V32" s="184"/>
      <c r="W32" s="178"/>
      <c r="X32" s="176">
        <f>(1527+402.35)/2</f>
        <v>964.675</v>
      </c>
      <c r="Y32" s="176">
        <f>(51.01+24.14+2.11+1.21+62.71+231.38+154.25+8.04)/2</f>
        <v>267.425</v>
      </c>
      <c r="Z32" s="176">
        <f>(246.35+69.7)/2</f>
        <v>158.025</v>
      </c>
      <c r="AA32" s="176">
        <f>(323.24+472.02)/2</f>
        <v>397.63</v>
      </c>
      <c r="AB32" s="176">
        <f>(70.8+11.84+156.92+11.23)/2</f>
        <v>125.395</v>
      </c>
      <c r="AC32" s="177">
        <f>37.5/2</f>
        <v>18.75</v>
      </c>
      <c r="AD32" s="176">
        <f>2.59/2</f>
        <v>1.295</v>
      </c>
      <c r="AE32" s="176">
        <f>29.11/2</f>
        <v>14.555</v>
      </c>
    </row>
    <row r="33" ht="90" customHeight="1" spans="1:31">
      <c r="A33" s="171" t="s">
        <v>310</v>
      </c>
      <c r="B33" s="172" t="s">
        <v>328</v>
      </c>
      <c r="C33" s="172" t="s">
        <v>287</v>
      </c>
      <c r="D33" s="182">
        <v>3</v>
      </c>
      <c r="E33" s="173" t="s">
        <v>329</v>
      </c>
      <c r="F33" s="183">
        <f t="shared" si="1"/>
        <v>95144.13</v>
      </c>
      <c r="G33" s="193"/>
      <c r="H33" s="193"/>
      <c r="I33" s="32"/>
      <c r="J33" s="31">
        <v>17767</v>
      </c>
      <c r="K33" s="182">
        <v>53302</v>
      </c>
      <c r="L33" s="174">
        <v>2100</v>
      </c>
      <c r="M33" s="174">
        <f>X33*(Z2+AC4)+Y33*(Z2+AD4)+Z33*Z4+AB33*AB4+AD33*AD2+AE33*AC2+AA33*AA2+AC33*AA4</f>
        <v>24354.686</v>
      </c>
      <c r="N33" s="173">
        <f t="shared" si="7"/>
        <v>2116.37488</v>
      </c>
      <c r="O33" s="173">
        <f t="shared" si="8"/>
        <v>2571.3954792</v>
      </c>
      <c r="P33" s="173">
        <f t="shared" si="9"/>
        <v>31142.4563592</v>
      </c>
      <c r="Q33" s="182">
        <f t="shared" si="4"/>
        <v>26471</v>
      </c>
      <c r="R33" s="173">
        <f t="shared" si="10"/>
        <v>79413</v>
      </c>
      <c r="S33" s="184" t="s">
        <v>273</v>
      </c>
      <c r="T33" s="184"/>
      <c r="U33" s="175"/>
      <c r="V33" s="184"/>
      <c r="W33" s="178"/>
      <c r="X33" s="176">
        <f>(2329+612.53)/3</f>
        <v>980.51</v>
      </c>
      <c r="Y33" s="176">
        <f>(76.51+36.21+3.17+1.82+94.06+347.07+231.38+12.05)/3</f>
        <v>267.423333333333</v>
      </c>
      <c r="Z33" s="176">
        <f>(399.91+104.55)/3</f>
        <v>168.153333333333</v>
      </c>
      <c r="AA33" s="176">
        <f>(484.86+708.03)/3</f>
        <v>397.63</v>
      </c>
      <c r="AB33" s="176">
        <f>(106.21+17.76+235.38+16.84)/3</f>
        <v>125.396666666667</v>
      </c>
      <c r="AC33" s="177">
        <f>56.25/3</f>
        <v>18.75</v>
      </c>
      <c r="AD33" s="176">
        <f>3.89/3</f>
        <v>1.29666666666667</v>
      </c>
      <c r="AE33" s="176">
        <f>47.36/3</f>
        <v>15.7866666666667</v>
      </c>
    </row>
    <row r="34" ht="90" customHeight="1" spans="1:31">
      <c r="A34" s="171" t="s">
        <v>313</v>
      </c>
      <c r="B34" s="172" t="s">
        <v>330</v>
      </c>
      <c r="C34" s="172" t="s">
        <v>287</v>
      </c>
      <c r="D34" s="182">
        <v>1</v>
      </c>
      <c r="E34" s="173" t="s">
        <v>331</v>
      </c>
      <c r="F34" s="183">
        <f t="shared" si="1"/>
        <v>32543.3</v>
      </c>
      <c r="G34" s="193"/>
      <c r="H34" s="193"/>
      <c r="I34" s="32"/>
      <c r="J34" s="31">
        <v>18566</v>
      </c>
      <c r="K34" s="182">
        <v>18566</v>
      </c>
      <c r="L34" s="174">
        <v>2100</v>
      </c>
      <c r="M34" s="174">
        <f>X34*(Z2+AC4)+Y34*(Z2+AD4)+Z34*Z4+AB34*AB4+AD34*AD2+AE34*AC2+AA34*AA2+AC34*AA4</f>
        <v>25094.012</v>
      </c>
      <c r="N34" s="173">
        <f t="shared" si="7"/>
        <v>2175.52096</v>
      </c>
      <c r="O34" s="173">
        <f t="shared" si="8"/>
        <v>2643.2579664</v>
      </c>
      <c r="P34" s="173">
        <f t="shared" si="9"/>
        <v>32012.7909264</v>
      </c>
      <c r="Q34" s="182">
        <f t="shared" si="4"/>
        <v>27211</v>
      </c>
      <c r="R34" s="173">
        <f t="shared" si="10"/>
        <v>27211</v>
      </c>
      <c r="S34" s="184" t="s">
        <v>273</v>
      </c>
      <c r="T34" s="184"/>
      <c r="U34" s="175"/>
      <c r="V34" s="184"/>
      <c r="W34" s="178"/>
      <c r="X34" s="176">
        <f>797.72+204.18</f>
        <v>1001.9</v>
      </c>
      <c r="Y34" s="176">
        <f>25.5+12.07+1.06+0.61+31.35+115.69+77.13+4.02</f>
        <v>267.43</v>
      </c>
      <c r="Z34" s="176">
        <f>150.19+34.85</f>
        <v>185.04</v>
      </c>
      <c r="AA34" s="176">
        <f>161.62+236.01</f>
        <v>397.63</v>
      </c>
      <c r="AB34" s="176">
        <f>35.4+5.92+78.46+5.61</f>
        <v>125.39</v>
      </c>
      <c r="AC34" s="177">
        <f>18.75</f>
        <v>18.75</v>
      </c>
      <c r="AD34" s="176">
        <v>1.3</v>
      </c>
      <c r="AE34" s="176">
        <v>17.79</v>
      </c>
    </row>
    <row r="35" ht="90" customHeight="1" spans="1:31">
      <c r="A35" s="171" t="s">
        <v>332</v>
      </c>
      <c r="B35" s="172" t="s">
        <v>333</v>
      </c>
      <c r="C35" s="172" t="s">
        <v>287</v>
      </c>
      <c r="D35" s="182">
        <v>2</v>
      </c>
      <c r="E35" s="173" t="s">
        <v>334</v>
      </c>
      <c r="F35" s="183">
        <f t="shared" si="1"/>
        <v>62462.72</v>
      </c>
      <c r="G35" s="193"/>
      <c r="H35" s="193" t="s">
        <v>335</v>
      </c>
      <c r="I35" s="32" t="s">
        <v>336</v>
      </c>
      <c r="J35" s="31">
        <v>17291</v>
      </c>
      <c r="K35" s="182">
        <f t="shared" si="5"/>
        <v>34582</v>
      </c>
      <c r="L35" s="174">
        <v>2100</v>
      </c>
      <c r="M35" s="174">
        <f>X35*(Z2+AC4)+Y35*(Z2+AD4)+Z35*Z4+AB35*AB4+AD35*AD2+AE35*AC2+AA35*AA2+AC35*AA4</f>
        <v>23914.219</v>
      </c>
      <c r="N35" s="173">
        <f t="shared" si="7"/>
        <v>2081.13752</v>
      </c>
      <c r="O35" s="173">
        <f t="shared" si="8"/>
        <v>2528.5820868</v>
      </c>
      <c r="P35" s="173">
        <f t="shared" si="9"/>
        <v>30623.9386068</v>
      </c>
      <c r="Q35" s="182">
        <f t="shared" si="4"/>
        <v>26030</v>
      </c>
      <c r="R35" s="173">
        <f t="shared" si="10"/>
        <v>52060</v>
      </c>
      <c r="S35" s="184" t="s">
        <v>273</v>
      </c>
      <c r="T35" s="184"/>
      <c r="U35" s="175"/>
      <c r="V35" s="184"/>
      <c r="W35" s="178"/>
      <c r="X35" s="176">
        <f>(1582.6+348.75)/2</f>
        <v>965.675</v>
      </c>
      <c r="Y35" s="176">
        <f>(51.01+24.14+2.11+1.21+62.71+231.38+154.25+8.04)/2</f>
        <v>267.425</v>
      </c>
      <c r="Z35" s="176">
        <f>(247.37+69.7)/2</f>
        <v>158.535</v>
      </c>
      <c r="AA35" s="176">
        <f>(323.24+472.02)/2</f>
        <v>397.63</v>
      </c>
      <c r="AB35" s="176">
        <f>(70.8+11.84+156.92+11.23)/2</f>
        <v>125.395</v>
      </c>
      <c r="AC35" s="177">
        <f>37.5/2</f>
        <v>18.75</v>
      </c>
      <c r="AD35" s="176">
        <f>2.59/2</f>
        <v>1.295</v>
      </c>
      <c r="AE35" s="176">
        <f>29.23/2</f>
        <v>14.615</v>
      </c>
    </row>
    <row r="36" ht="90" customHeight="1" spans="1:31">
      <c r="A36" s="171" t="s">
        <v>337</v>
      </c>
      <c r="B36" s="172" t="s">
        <v>338</v>
      </c>
      <c r="C36" s="172" t="s">
        <v>287</v>
      </c>
      <c r="D36" s="182">
        <v>5</v>
      </c>
      <c r="E36" s="173" t="s">
        <v>339</v>
      </c>
      <c r="F36" s="183">
        <f t="shared" si="1"/>
        <v>154463</v>
      </c>
      <c r="G36" s="193"/>
      <c r="H36" s="193"/>
      <c r="I36" s="32"/>
      <c r="J36" s="31">
        <v>13517</v>
      </c>
      <c r="K36" s="182">
        <f t="shared" si="5"/>
        <v>67585</v>
      </c>
      <c r="L36" s="174">
        <v>2100</v>
      </c>
      <c r="M36" s="174">
        <f>X36*(Z2+AC4)+Y36*(Z2+AD4)+Z36*Z4+AB36*AB4+AD36*AD2+AE36*AC2+AA36*AA2+AC36*AA4</f>
        <v>20421.5133631303</v>
      </c>
      <c r="N36" s="173">
        <f t="shared" si="7"/>
        <v>1801.72106905043</v>
      </c>
      <c r="O36" s="173">
        <f t="shared" si="8"/>
        <v>2189.09109889627</v>
      </c>
      <c r="P36" s="173">
        <f t="shared" si="9"/>
        <v>26512.325531077</v>
      </c>
      <c r="Q36" s="182">
        <f t="shared" si="4"/>
        <v>22535</v>
      </c>
      <c r="R36" s="173">
        <f t="shared" si="10"/>
        <v>112675</v>
      </c>
      <c r="S36" s="184" t="s">
        <v>273</v>
      </c>
      <c r="T36" s="184"/>
      <c r="U36" s="175"/>
      <c r="V36" s="184"/>
      <c r="W36" s="178"/>
      <c r="X36" s="176">
        <f>(3977.9+804.6)/5</f>
        <v>956.5</v>
      </c>
      <c r="Y36" s="176">
        <f>(127.52+60.35+5.29+3.04+156.77+578.45+385.63+20.09)/5</f>
        <v>267.428</v>
      </c>
      <c r="Z36" s="176">
        <f>(583.3+174.25)/E36</f>
        <v>0.0245220538251879</v>
      </c>
      <c r="AA36" s="176">
        <f>(808.1+1180.05)/5</f>
        <v>397.63</v>
      </c>
      <c r="AB36" s="176">
        <f>(177.01+29.6+392.3+28.07)/5</f>
        <v>125.396</v>
      </c>
      <c r="AC36" s="177">
        <f t="shared" ref="AC36:AC41" si="11">37.5/2</f>
        <v>18.75</v>
      </c>
      <c r="AD36" s="176">
        <v>1.3</v>
      </c>
      <c r="AE36" s="176">
        <f>68.8/5</f>
        <v>13.76</v>
      </c>
    </row>
    <row r="37" ht="90" customHeight="1" spans="1:31">
      <c r="A37" s="171" t="s">
        <v>340</v>
      </c>
      <c r="B37" s="172" t="s">
        <v>322</v>
      </c>
      <c r="C37" s="172" t="s">
        <v>287</v>
      </c>
      <c r="D37" s="182">
        <v>3</v>
      </c>
      <c r="E37" s="173" t="s">
        <v>341</v>
      </c>
      <c r="F37" s="183">
        <f t="shared" si="1"/>
        <v>94404.9</v>
      </c>
      <c r="G37" s="193"/>
      <c r="H37" s="193"/>
      <c r="I37" s="32"/>
      <c r="J37" s="31">
        <v>13858</v>
      </c>
      <c r="K37" s="182">
        <v>41573</v>
      </c>
      <c r="L37" s="174">
        <v>2100</v>
      </c>
      <c r="M37" s="174">
        <f>X37*(Z2+AC4)+Y37*(Z2+AD4)+Z37*Z4+AB37*AB4+AD37*AD2+AE37*AC2+AA37*AA2+AC37*AA4</f>
        <v>20737.5214427457</v>
      </c>
      <c r="N37" s="173">
        <f t="shared" si="7"/>
        <v>1827.00171541965</v>
      </c>
      <c r="O37" s="173">
        <f t="shared" si="8"/>
        <v>2219.80708423488</v>
      </c>
      <c r="P37" s="173">
        <f t="shared" si="9"/>
        <v>26884.3302424002</v>
      </c>
      <c r="Q37" s="182">
        <f t="shared" si="4"/>
        <v>22852</v>
      </c>
      <c r="R37" s="173">
        <f t="shared" si="10"/>
        <v>68556</v>
      </c>
      <c r="S37" s="184" t="s">
        <v>273</v>
      </c>
      <c r="T37" s="184"/>
      <c r="U37" s="175"/>
      <c r="V37" s="184"/>
      <c r="W37" s="178"/>
      <c r="X37" s="176">
        <f>(2207.09+756.72)/3</f>
        <v>987.936666666667</v>
      </c>
      <c r="Y37" s="176">
        <f>(76.51+36.21+3.17+1.82+94.06+347.07+231.38+12.05)/3</f>
        <v>267.423333333333</v>
      </c>
      <c r="Z37" s="176">
        <f>(376.03+104.55)/E37</f>
        <v>0.0152718767775825</v>
      </c>
      <c r="AA37" s="176">
        <f>(484.86+708.03)/3</f>
        <v>397.63</v>
      </c>
      <c r="AB37" s="176">
        <f t="shared" ref="AB37:AB41" si="12">(177.01+29.6+392.3+28.07)/5</f>
        <v>125.396</v>
      </c>
      <c r="AC37" s="177">
        <f t="shared" si="11"/>
        <v>18.75</v>
      </c>
      <c r="AD37" s="176">
        <v>1.3</v>
      </c>
      <c r="AE37" s="176">
        <f>44.37/3</f>
        <v>14.79</v>
      </c>
    </row>
    <row r="38" ht="90" customHeight="1" spans="1:31">
      <c r="A38" s="171" t="s">
        <v>342</v>
      </c>
      <c r="B38" s="172" t="s">
        <v>343</v>
      </c>
      <c r="C38" s="172" t="s">
        <v>287</v>
      </c>
      <c r="D38" s="182">
        <v>1</v>
      </c>
      <c r="E38" s="173" t="s">
        <v>344</v>
      </c>
      <c r="F38" s="183">
        <f t="shared" si="1"/>
        <v>32861.54</v>
      </c>
      <c r="G38" s="193"/>
      <c r="H38" s="193"/>
      <c r="I38" s="32"/>
      <c r="J38" s="31">
        <v>18744</v>
      </c>
      <c r="K38" s="182">
        <f t="shared" si="5"/>
        <v>18744</v>
      </c>
      <c r="L38" s="174">
        <v>2100</v>
      </c>
      <c r="M38" s="174">
        <f>X38*(Z2+AC4)+Y38*(Z2+AD4)+Z38*Z4+AB38*AB4+AD38*AD2+AE38*AC2+AA38*AA2+AC38*AA4</f>
        <v>25258.5434</v>
      </c>
      <c r="N38" s="173">
        <f t="shared" si="7"/>
        <v>2188.683472</v>
      </c>
      <c r="O38" s="173">
        <f t="shared" si="8"/>
        <v>2659.25041848</v>
      </c>
      <c r="P38" s="173">
        <f t="shared" si="9"/>
        <v>32206.47729048</v>
      </c>
      <c r="Q38" s="182">
        <f t="shared" si="4"/>
        <v>27376</v>
      </c>
      <c r="R38" s="173">
        <f t="shared" si="10"/>
        <v>27376</v>
      </c>
      <c r="S38" s="184" t="s">
        <v>273</v>
      </c>
      <c r="T38" s="184"/>
      <c r="U38" s="175"/>
      <c r="V38" s="184"/>
      <c r="W38" s="178"/>
      <c r="X38" s="176">
        <f>856.7+251.04</f>
        <v>1107.74</v>
      </c>
      <c r="Y38" s="176">
        <f>25.5+12.07+1.06+0.61+31.35+115.69+77.13+4.02</f>
        <v>267.43</v>
      </c>
      <c r="Z38" s="176">
        <f>137.89+34.85</f>
        <v>172.74</v>
      </c>
      <c r="AA38" s="176">
        <f>161.62+236.01</f>
        <v>397.63</v>
      </c>
      <c r="AB38" s="176">
        <f t="shared" si="12"/>
        <v>125.396</v>
      </c>
      <c r="AC38" s="177">
        <f t="shared" si="11"/>
        <v>18.75</v>
      </c>
      <c r="AD38" s="176">
        <v>1.3</v>
      </c>
      <c r="AE38" s="176">
        <v>16.32</v>
      </c>
    </row>
    <row r="39" ht="90" customHeight="1" spans="1:31">
      <c r="A39" s="171" t="s">
        <v>345</v>
      </c>
      <c r="B39" s="172" t="s">
        <v>346</v>
      </c>
      <c r="C39" s="172" t="s">
        <v>287</v>
      </c>
      <c r="D39" s="182">
        <v>1</v>
      </c>
      <c r="E39" s="173" t="s">
        <v>347</v>
      </c>
      <c r="F39" s="183">
        <f t="shared" si="1"/>
        <v>32965.8</v>
      </c>
      <c r="G39" s="193"/>
      <c r="H39" s="193"/>
      <c r="I39" s="32"/>
      <c r="J39" s="31">
        <v>19051</v>
      </c>
      <c r="K39" s="182">
        <f t="shared" si="5"/>
        <v>19051</v>
      </c>
      <c r="L39" s="174">
        <v>2100</v>
      </c>
      <c r="M39" s="174">
        <f>X39*(Z2+AC4)+Y39*(Z2+AD4)+Z39*Z4+AB39*AB4+AD39*AD2+AE39*AC2+AA39*AA2+AC39*AA4</f>
        <v>25542.5874</v>
      </c>
      <c r="N39" s="173">
        <f t="shared" si="7"/>
        <v>2211.406992</v>
      </c>
      <c r="O39" s="173">
        <f t="shared" si="8"/>
        <v>2686.85949528</v>
      </c>
      <c r="P39" s="173">
        <f t="shared" si="9"/>
        <v>32540.85388728</v>
      </c>
      <c r="Q39" s="182">
        <f t="shared" si="4"/>
        <v>27660</v>
      </c>
      <c r="R39" s="173">
        <f t="shared" si="10"/>
        <v>27660</v>
      </c>
      <c r="S39" s="184" t="s">
        <v>273</v>
      </c>
      <c r="T39" s="184"/>
      <c r="U39" s="175"/>
      <c r="V39" s="184"/>
      <c r="W39" s="178"/>
      <c r="X39" s="185">
        <f>871.38+251.04</f>
        <v>1122.42</v>
      </c>
      <c r="Y39" s="176">
        <f t="shared" ref="Y39:Y41" si="13">25.5+12.07+1.06+0.61+31.35+115.69+77.13+4.02</f>
        <v>267.43</v>
      </c>
      <c r="Z39" s="176">
        <f>137.89+34.85</f>
        <v>172.74</v>
      </c>
      <c r="AA39" s="176">
        <f t="shared" ref="AA39:AA41" si="14">161.62+236.01</f>
        <v>397.63</v>
      </c>
      <c r="AB39" s="176">
        <f t="shared" si="12"/>
        <v>125.396</v>
      </c>
      <c r="AC39" s="177">
        <f t="shared" si="11"/>
        <v>18.75</v>
      </c>
      <c r="AD39" s="176">
        <v>1.3</v>
      </c>
      <c r="AE39" s="176">
        <v>17.85</v>
      </c>
    </row>
    <row r="40" ht="90" customHeight="1" spans="1:31">
      <c r="A40" s="171" t="s">
        <v>348</v>
      </c>
      <c r="B40" s="172" t="s">
        <v>349</v>
      </c>
      <c r="C40" s="172" t="s">
        <v>287</v>
      </c>
      <c r="D40" s="182">
        <v>1</v>
      </c>
      <c r="E40" s="173" t="s">
        <v>350</v>
      </c>
      <c r="F40" s="183">
        <f t="shared" si="1"/>
        <v>35195.78</v>
      </c>
      <c r="G40" s="193"/>
      <c r="H40" s="193"/>
      <c r="I40" s="32"/>
      <c r="J40" s="31">
        <v>20938</v>
      </c>
      <c r="K40" s="182">
        <f t="shared" si="5"/>
        <v>20938</v>
      </c>
      <c r="L40" s="174">
        <v>2100</v>
      </c>
      <c r="M40" s="174">
        <f>X40*(Z2+AC4)+Y40*(Z2+AD4)+Z40*Z4+AB40*AB4+AD40*AD2+AE40*AC2+AA40*AA2+AC40*AA4</f>
        <v>27287.9834</v>
      </c>
      <c r="N40" s="173">
        <f t="shared" si="7"/>
        <v>2351.038672</v>
      </c>
      <c r="O40" s="173">
        <f t="shared" si="8"/>
        <v>2856.51198648</v>
      </c>
      <c r="P40" s="173">
        <f t="shared" si="9"/>
        <v>34595.53405848</v>
      </c>
      <c r="Q40" s="182">
        <f t="shared" si="4"/>
        <v>29406</v>
      </c>
      <c r="R40" s="173">
        <f t="shared" si="10"/>
        <v>29406</v>
      </c>
      <c r="S40" s="184" t="s">
        <v>273</v>
      </c>
      <c r="T40" s="184"/>
      <c r="U40" s="175"/>
      <c r="V40" s="184"/>
      <c r="W40" s="178"/>
      <c r="X40" s="185">
        <f>1008.48+249.81</f>
        <v>1258.29</v>
      </c>
      <c r="Y40" s="176">
        <f t="shared" si="13"/>
        <v>267.43</v>
      </c>
      <c r="Z40" s="176">
        <f>169.24+34.85</f>
        <v>204.09</v>
      </c>
      <c r="AA40" s="176">
        <f t="shared" si="14"/>
        <v>397.63</v>
      </c>
      <c r="AB40" s="176">
        <f t="shared" si="12"/>
        <v>125.396</v>
      </c>
      <c r="AC40" s="177">
        <f t="shared" si="11"/>
        <v>18.75</v>
      </c>
      <c r="AD40" s="176">
        <v>1.3</v>
      </c>
      <c r="AE40" s="176">
        <v>20.15</v>
      </c>
    </row>
    <row r="41" ht="90" customHeight="1" spans="1:31">
      <c r="A41" s="171" t="s">
        <v>340</v>
      </c>
      <c r="B41" s="172" t="s">
        <v>351</v>
      </c>
      <c r="C41" s="172" t="s">
        <v>287</v>
      </c>
      <c r="D41" s="182">
        <v>1</v>
      </c>
      <c r="E41" s="173" t="s">
        <v>352</v>
      </c>
      <c r="F41" s="183">
        <f t="shared" si="1"/>
        <v>36031.23</v>
      </c>
      <c r="G41" s="193"/>
      <c r="H41" s="193"/>
      <c r="I41" s="32"/>
      <c r="J41" s="31">
        <v>21614</v>
      </c>
      <c r="K41" s="182">
        <f t="shared" si="5"/>
        <v>21614</v>
      </c>
      <c r="L41" s="174">
        <v>2100</v>
      </c>
      <c r="M41" s="174">
        <f>X41*(Z2+AC4)+Y41*(Z2+AD4)+Z41*Z4+AB41*AB4+AD41*AD2+AE41*AC2+AA41*AA2+AC41*AA4</f>
        <v>27914.0834</v>
      </c>
      <c r="N41" s="173">
        <f t="shared" si="7"/>
        <v>2401.126672</v>
      </c>
      <c r="O41" s="173">
        <f t="shared" si="8"/>
        <v>2917.36890648</v>
      </c>
      <c r="P41" s="173">
        <f t="shared" si="9"/>
        <v>35332.57897848</v>
      </c>
      <c r="Q41" s="182">
        <f t="shared" si="4"/>
        <v>30033</v>
      </c>
      <c r="R41" s="173">
        <f t="shared" si="10"/>
        <v>30033</v>
      </c>
      <c r="S41" s="184" t="s">
        <v>273</v>
      </c>
      <c r="T41" s="184"/>
      <c r="U41" s="175"/>
      <c r="V41" s="184"/>
      <c r="W41" s="178"/>
      <c r="X41" s="185">
        <f>950.45+435.89</f>
        <v>1386.34</v>
      </c>
      <c r="Y41" s="176">
        <f t="shared" si="13"/>
        <v>267.43</v>
      </c>
      <c r="Z41" s="176">
        <f>166.35+34.85</f>
        <v>201.2</v>
      </c>
      <c r="AA41" s="176">
        <f t="shared" si="14"/>
        <v>397.63</v>
      </c>
      <c r="AB41" s="176">
        <f t="shared" si="12"/>
        <v>125.396</v>
      </c>
      <c r="AC41" s="177">
        <f t="shared" si="11"/>
        <v>18.75</v>
      </c>
      <c r="AD41" s="176">
        <v>1.3</v>
      </c>
      <c r="AE41" s="176">
        <v>19.72</v>
      </c>
    </row>
    <row r="42" ht="65.25" customHeight="1" spans="1:31">
      <c r="A42" s="171" t="s">
        <v>353</v>
      </c>
      <c r="B42" s="172" t="s">
        <v>354</v>
      </c>
      <c r="C42" s="172" t="s">
        <v>287</v>
      </c>
      <c r="D42" s="182">
        <v>1</v>
      </c>
      <c r="E42" s="173" t="s">
        <v>355</v>
      </c>
      <c r="F42" s="183">
        <f t="shared" si="1"/>
        <v>128.11</v>
      </c>
      <c r="G42" s="193"/>
      <c r="H42" s="193"/>
      <c r="I42" s="32"/>
      <c r="J42" s="31">
        <v>404</v>
      </c>
      <c r="K42" s="182">
        <f t="shared" si="5"/>
        <v>404</v>
      </c>
      <c r="L42" s="174">
        <f>12.7/100*94.94+1.619/100*470.1+1.289/100*637.22+0.067/100*184.23</f>
        <v>28.0054989</v>
      </c>
      <c r="M42" s="182">
        <f>(16.64+14.3+5.02+0.026)*(Z2+AC4)+0.76*AC2+0.094*AA4</f>
        <v>349.3488</v>
      </c>
      <c r="N42" s="173">
        <f t="shared" si="7"/>
        <v>30.188343912</v>
      </c>
      <c r="O42" s="173">
        <f t="shared" si="8"/>
        <v>36.67883785308</v>
      </c>
      <c r="P42" s="173">
        <f t="shared" si="9"/>
        <v>444.22148066508</v>
      </c>
      <c r="Q42" s="182">
        <f t="shared" si="4"/>
        <v>378</v>
      </c>
      <c r="R42" s="173">
        <f t="shared" si="10"/>
        <v>378</v>
      </c>
      <c r="S42" s="184" t="s">
        <v>288</v>
      </c>
      <c r="T42" s="184"/>
      <c r="U42" s="175"/>
      <c r="V42" s="178" t="s">
        <v>356</v>
      </c>
      <c r="W42" s="178"/>
      <c r="X42" s="194"/>
      <c r="Y42" s="146"/>
      <c r="Z42" s="145"/>
      <c r="AB42" s="146"/>
    </row>
    <row r="43" ht="65.25" customHeight="1" spans="1:31">
      <c r="A43" s="171" t="s">
        <v>357</v>
      </c>
      <c r="B43" s="172" t="s">
        <v>358</v>
      </c>
      <c r="C43" s="172" t="s">
        <v>287</v>
      </c>
      <c r="D43" s="182">
        <f>45+2</f>
        <v>47</v>
      </c>
      <c r="E43" s="173" t="s">
        <v>355</v>
      </c>
      <c r="F43" s="183">
        <f t="shared" si="1"/>
        <v>6021.17</v>
      </c>
      <c r="G43" s="193"/>
      <c r="H43" s="193"/>
      <c r="I43" s="32"/>
      <c r="J43" s="31">
        <v>60</v>
      </c>
      <c r="K43" s="182">
        <v>2828</v>
      </c>
      <c r="L43" s="174">
        <v>20</v>
      </c>
      <c r="M43" s="182">
        <f>2.58*AA2+0.06*AA4</f>
        <v>37.536</v>
      </c>
      <c r="N43" s="173">
        <f t="shared" si="7"/>
        <v>4.60288</v>
      </c>
      <c r="O43" s="173">
        <f t="shared" si="8"/>
        <v>5.5924992</v>
      </c>
      <c r="P43" s="173">
        <f t="shared" si="9"/>
        <v>67.7313792</v>
      </c>
      <c r="Q43" s="182">
        <f t="shared" si="4"/>
        <v>58</v>
      </c>
      <c r="R43" s="173">
        <f t="shared" si="10"/>
        <v>2726</v>
      </c>
      <c r="S43" s="184" t="s">
        <v>288</v>
      </c>
      <c r="T43" s="184"/>
      <c r="U43" s="175"/>
      <c r="V43" s="178" t="s">
        <v>359</v>
      </c>
      <c r="W43" s="178"/>
      <c r="X43" s="194"/>
      <c r="Y43" s="146"/>
      <c r="Z43" s="145"/>
      <c r="AB43" s="146"/>
    </row>
    <row r="44" ht="65.25" customHeight="1" spans="1:31">
      <c r="A44" s="171" t="s">
        <v>360</v>
      </c>
      <c r="B44" s="172" t="s">
        <v>361</v>
      </c>
      <c r="C44" s="172" t="s">
        <v>287</v>
      </c>
      <c r="D44" s="182">
        <f>180+8</f>
        <v>188</v>
      </c>
      <c r="E44" s="173" t="s">
        <v>362</v>
      </c>
      <c r="F44" s="183">
        <f t="shared" si="1"/>
        <v>16340.96</v>
      </c>
      <c r="G44" s="193"/>
      <c r="H44" s="193"/>
      <c r="I44" s="32"/>
      <c r="J44" s="31">
        <v>78</v>
      </c>
      <c r="K44" s="182">
        <v>14574</v>
      </c>
      <c r="L44" s="174">
        <f>20.3/100*94.94</f>
        <v>19.27282</v>
      </c>
      <c r="M44" s="182">
        <f>9.87*AA2+0.027*AA4</f>
        <v>53.469</v>
      </c>
      <c r="N44" s="173">
        <f t="shared" si="7"/>
        <v>5.8193456</v>
      </c>
      <c r="O44" s="173">
        <f t="shared" si="8"/>
        <v>7.070504904</v>
      </c>
      <c r="P44" s="173">
        <f t="shared" si="9"/>
        <v>85.631670504</v>
      </c>
      <c r="Q44" s="182">
        <f t="shared" si="4"/>
        <v>73</v>
      </c>
      <c r="R44" s="173">
        <f t="shared" si="10"/>
        <v>13724</v>
      </c>
      <c r="S44" s="184" t="s">
        <v>288</v>
      </c>
      <c r="T44" s="184"/>
      <c r="U44" s="175"/>
      <c r="V44" s="178"/>
      <c r="W44" s="178"/>
      <c r="X44" s="194"/>
      <c r="Y44" s="146"/>
      <c r="Z44" s="145"/>
      <c r="AB44" s="146"/>
    </row>
    <row r="45" ht="65.25" customHeight="1" spans="1:31">
      <c r="A45" s="171" t="s">
        <v>363</v>
      </c>
      <c r="B45" s="172" t="s">
        <v>364</v>
      </c>
      <c r="C45" s="172" t="s">
        <v>287</v>
      </c>
      <c r="D45" s="182">
        <f>406+20</f>
        <v>426</v>
      </c>
      <c r="E45" s="173" t="s">
        <v>365</v>
      </c>
      <c r="F45" s="183">
        <f t="shared" si="1"/>
        <v>5870.28</v>
      </c>
      <c r="G45" s="193"/>
      <c r="H45" s="193"/>
      <c r="I45" s="32"/>
      <c r="J45" s="31">
        <f t="shared" si="6"/>
        <v>10.2</v>
      </c>
      <c r="K45" s="182">
        <f t="shared" si="5"/>
        <v>4345</v>
      </c>
      <c r="L45" s="174"/>
      <c r="M45" s="182"/>
      <c r="N45" s="173">
        <f t="shared" si="7"/>
        <v>0</v>
      </c>
      <c r="O45" s="173">
        <f t="shared" si="8"/>
        <v>0</v>
      </c>
      <c r="P45" s="173">
        <f t="shared" si="9"/>
        <v>0</v>
      </c>
      <c r="Q45" s="173">
        <v>10</v>
      </c>
      <c r="R45" s="173">
        <f t="shared" si="10"/>
        <v>4260</v>
      </c>
      <c r="S45" s="184" t="s">
        <v>288</v>
      </c>
      <c r="T45" s="184"/>
      <c r="U45" s="175"/>
      <c r="V45" s="178" t="s">
        <v>366</v>
      </c>
      <c r="W45" s="178"/>
      <c r="X45" s="194"/>
      <c r="Y45" s="146"/>
      <c r="Z45" s="145"/>
      <c r="AB45" s="146"/>
    </row>
    <row r="46" ht="42.75" customHeight="1" spans="1:31">
      <c r="A46" s="171" t="s">
        <v>367</v>
      </c>
      <c r="B46" s="172" t="s">
        <v>368</v>
      </c>
      <c r="C46" s="172"/>
      <c r="D46" s="182"/>
      <c r="E46" s="173"/>
      <c r="F46" s="183">
        <f t="shared" si="1"/>
        <v>0</v>
      </c>
      <c r="G46" s="193"/>
      <c r="H46" s="193"/>
      <c r="I46" s="32"/>
      <c r="J46" s="31">
        <f t="shared" si="6"/>
        <v>0</v>
      </c>
      <c r="K46" s="182">
        <f t="shared" si="5"/>
        <v>0</v>
      </c>
      <c r="L46" s="195"/>
      <c r="M46" s="196"/>
      <c r="N46" s="173">
        <f t="shared" si="7"/>
        <v>0</v>
      </c>
      <c r="O46" s="173">
        <f t="shared" si="8"/>
        <v>0</v>
      </c>
      <c r="P46" s="173">
        <f t="shared" si="9"/>
        <v>0</v>
      </c>
      <c r="Q46" s="173">
        <f t="shared" ref="Q46" si="15">ROUND(P46*(1-10%),0)</f>
        <v>0</v>
      </c>
      <c r="R46" s="173">
        <f t="shared" si="10"/>
        <v>0</v>
      </c>
      <c r="S46" s="184"/>
      <c r="T46" s="184"/>
      <c r="U46" s="175"/>
      <c r="V46" s="178"/>
      <c r="W46" s="178"/>
      <c r="X46" s="194"/>
      <c r="Y46" s="146"/>
      <c r="Z46" s="145"/>
      <c r="AB46" s="146"/>
    </row>
    <row r="47" ht="65.25" customHeight="1" spans="1:31">
      <c r="A47" s="171" t="s">
        <v>369</v>
      </c>
      <c r="B47" s="172" t="s">
        <v>370</v>
      </c>
      <c r="C47" s="172" t="s">
        <v>48</v>
      </c>
      <c r="D47" s="182">
        <f>42777+2479+2496</f>
        <v>47752</v>
      </c>
      <c r="E47" s="193" t="s">
        <v>371</v>
      </c>
      <c r="F47" s="183">
        <f>D47*42.87</f>
        <v>2047128.24</v>
      </c>
      <c r="G47" s="193"/>
      <c r="H47" s="193" t="s">
        <v>372</v>
      </c>
      <c r="I47" s="32"/>
      <c r="J47" s="32">
        <v>34.68</v>
      </c>
      <c r="K47" s="182">
        <f t="shared" si="5"/>
        <v>1656039</v>
      </c>
      <c r="L47" s="174">
        <f>3.1/100*94.94+0.47/100*792.97+0.43/100*470.1</f>
        <v>8.691529</v>
      </c>
      <c r="M47" s="182">
        <v>23</v>
      </c>
      <c r="N47" s="173">
        <f t="shared" si="7"/>
        <v>2.53532232</v>
      </c>
      <c r="O47" s="173">
        <f t="shared" si="8"/>
        <v>3.0804166188</v>
      </c>
      <c r="P47" s="173">
        <f t="shared" si="9"/>
        <v>37.3072679388</v>
      </c>
      <c r="Q47" s="182">
        <f t="shared" ref="Q47:Q55" si="16">ROUND(P47*(1-15%),0)</f>
        <v>32</v>
      </c>
      <c r="R47" s="173">
        <f t="shared" si="10"/>
        <v>1528064</v>
      </c>
      <c r="S47" s="184" t="s">
        <v>288</v>
      </c>
      <c r="T47" s="184"/>
      <c r="U47" s="175"/>
      <c r="V47" s="178" t="s">
        <v>373</v>
      </c>
      <c r="W47" s="178"/>
      <c r="X47" s="194"/>
      <c r="Y47" s="146"/>
      <c r="Z47" s="145"/>
      <c r="AB47" s="146"/>
    </row>
    <row r="48" ht="46.5" customHeight="1" spans="1:31">
      <c r="A48" s="171" t="s">
        <v>374</v>
      </c>
      <c r="B48" s="172" t="s">
        <v>375</v>
      </c>
      <c r="C48" s="172"/>
      <c r="D48" s="182"/>
      <c r="E48" s="173"/>
      <c r="F48" s="183">
        <f t="shared" ref="F48:F50" si="17">D48*E48</f>
        <v>0</v>
      </c>
      <c r="G48" s="173"/>
      <c r="H48" s="173"/>
      <c r="I48" s="173"/>
      <c r="J48" s="31">
        <f t="shared" ref="J48" si="18">Q48*1.02</f>
        <v>0</v>
      </c>
      <c r="K48" s="182">
        <f t="shared" si="5"/>
        <v>0</v>
      </c>
      <c r="L48" s="174"/>
      <c r="M48" s="174"/>
      <c r="N48" s="174">
        <f t="shared" si="7"/>
        <v>0</v>
      </c>
      <c r="O48" s="174"/>
      <c r="P48" s="174"/>
      <c r="Q48" s="182">
        <f t="shared" si="16"/>
        <v>0</v>
      </c>
      <c r="R48" s="182">
        <f t="shared" si="10"/>
        <v>0</v>
      </c>
      <c r="S48" s="175"/>
      <c r="T48" s="184"/>
      <c r="U48" s="175"/>
      <c r="V48" s="175"/>
      <c r="W48" s="178"/>
      <c r="X48" s="185"/>
      <c r="Y48" s="177"/>
      <c r="Z48" s="145"/>
      <c r="AB48" s="146"/>
    </row>
    <row r="49" ht="65.25" customHeight="1" spans="1:28">
      <c r="A49" s="171" t="s">
        <v>37</v>
      </c>
      <c r="B49" s="172" t="s">
        <v>376</v>
      </c>
      <c r="C49" s="172" t="s">
        <v>287</v>
      </c>
      <c r="D49" s="182">
        <f>9631+432</f>
        <v>10063</v>
      </c>
      <c r="E49" s="173" t="s">
        <v>377</v>
      </c>
      <c r="F49" s="183">
        <f t="shared" si="17"/>
        <v>56151.54</v>
      </c>
      <c r="G49" s="173">
        <v>4.93</v>
      </c>
      <c r="H49" s="173"/>
      <c r="I49" s="32">
        <v>4.94</v>
      </c>
      <c r="J49" s="32">
        <v>4.08</v>
      </c>
      <c r="K49" s="182">
        <f t="shared" si="5"/>
        <v>41057</v>
      </c>
      <c r="L49" s="174">
        <v>0.66</v>
      </c>
      <c r="M49" s="174">
        <v>2.07</v>
      </c>
      <c r="N49" s="174">
        <f t="shared" si="7"/>
        <v>0.2184</v>
      </c>
      <c r="O49" s="174">
        <f t="shared" ref="O49:O50" si="19">(L49+M49+N49)*9%</f>
        <v>0.265356</v>
      </c>
      <c r="P49" s="174">
        <f t="shared" ref="P49:P50" si="20">L49+M49+N49+O49</f>
        <v>3.213756</v>
      </c>
      <c r="Q49" s="182">
        <f t="shared" si="16"/>
        <v>3</v>
      </c>
      <c r="R49" s="182">
        <f t="shared" si="10"/>
        <v>30189</v>
      </c>
      <c r="S49" s="175" t="s">
        <v>288</v>
      </c>
      <c r="T49" s="184" t="s">
        <v>266</v>
      </c>
      <c r="U49" s="175" t="s">
        <v>378</v>
      </c>
      <c r="V49" s="175"/>
      <c r="W49" s="178"/>
      <c r="X49" s="185"/>
      <c r="Y49" s="177">
        <v>0.2</v>
      </c>
      <c r="Z49" s="145"/>
      <c r="AB49" s="146"/>
    </row>
    <row r="50" ht="65.25" customHeight="1" spans="1:28">
      <c r="A50" s="171" t="s">
        <v>43</v>
      </c>
      <c r="B50" s="172" t="s">
        <v>379</v>
      </c>
      <c r="C50" s="172" t="s">
        <v>287</v>
      </c>
      <c r="D50" s="182">
        <f>1000+300</f>
        <v>1300</v>
      </c>
      <c r="E50" s="173"/>
      <c r="F50" s="183">
        <f t="shared" si="17"/>
        <v>0</v>
      </c>
      <c r="G50" s="173">
        <v>4.93</v>
      </c>
      <c r="H50" s="173"/>
      <c r="I50" s="32">
        <v>4.94</v>
      </c>
      <c r="J50" s="32">
        <v>4.08</v>
      </c>
      <c r="K50" s="182">
        <f t="shared" si="5"/>
        <v>5304</v>
      </c>
      <c r="L50" s="174">
        <v>0.66</v>
      </c>
      <c r="M50" s="174">
        <v>2.07</v>
      </c>
      <c r="N50" s="174">
        <f t="shared" si="7"/>
        <v>0.2184</v>
      </c>
      <c r="O50" s="174">
        <f t="shared" si="19"/>
        <v>0.265356</v>
      </c>
      <c r="P50" s="174">
        <f t="shared" si="20"/>
        <v>3.213756</v>
      </c>
      <c r="Q50" s="182">
        <f t="shared" si="16"/>
        <v>3</v>
      </c>
      <c r="R50" s="182">
        <f t="shared" si="10"/>
        <v>3900</v>
      </c>
      <c r="S50" s="175" t="s">
        <v>288</v>
      </c>
      <c r="T50" s="184" t="s">
        <v>266</v>
      </c>
      <c r="U50" s="175" t="s">
        <v>378</v>
      </c>
      <c r="V50" s="175"/>
      <c r="W50" s="178"/>
      <c r="X50" s="192"/>
      <c r="Y50" s="192"/>
      <c r="Z50" s="145"/>
      <c r="AB50" s="146"/>
    </row>
    <row r="51" ht="65.25" customHeight="1" spans="1:28">
      <c r="A51" s="171" t="s">
        <v>380</v>
      </c>
      <c r="B51" s="172" t="s">
        <v>381</v>
      </c>
      <c r="C51" s="172" t="s">
        <v>48</v>
      </c>
      <c r="D51" s="182">
        <f>106+5</f>
        <v>111</v>
      </c>
      <c r="E51" s="173" t="s">
        <v>382</v>
      </c>
      <c r="F51" s="183">
        <f t="shared" si="1"/>
        <v>3237.87</v>
      </c>
      <c r="G51" s="193"/>
      <c r="H51" s="193">
        <v>74.88</v>
      </c>
      <c r="I51" s="32"/>
      <c r="J51" s="32">
        <v>29.58</v>
      </c>
      <c r="K51" s="182">
        <f t="shared" si="5"/>
        <v>3283</v>
      </c>
      <c r="L51" s="174">
        <v>1</v>
      </c>
      <c r="M51" s="182">
        <f>0.2*AC2</f>
        <v>26</v>
      </c>
      <c r="N51" s="173">
        <f t="shared" si="7"/>
        <v>2.16</v>
      </c>
      <c r="O51" s="173">
        <f t="shared" si="8"/>
        <v>2.6244</v>
      </c>
      <c r="P51" s="173">
        <f t="shared" si="9"/>
        <v>31.7844</v>
      </c>
      <c r="Q51" s="182">
        <f t="shared" si="16"/>
        <v>27</v>
      </c>
      <c r="R51" s="173">
        <f t="shared" si="10"/>
        <v>2997</v>
      </c>
      <c r="S51" s="184" t="s">
        <v>288</v>
      </c>
      <c r="T51" s="184"/>
      <c r="U51" s="175"/>
      <c r="V51" s="178"/>
      <c r="W51" s="178"/>
      <c r="X51" s="194"/>
      <c r="Y51" s="146"/>
      <c r="Z51" s="145"/>
      <c r="AB51" s="146"/>
    </row>
    <row r="52" ht="65.25" customHeight="1" spans="1:28">
      <c r="A52" s="171" t="s">
        <v>383</v>
      </c>
      <c r="B52" s="172" t="s">
        <v>384</v>
      </c>
      <c r="C52" s="172" t="s">
        <v>85</v>
      </c>
      <c r="D52" s="182">
        <v>1433.5</v>
      </c>
      <c r="E52" s="173" t="s">
        <v>385</v>
      </c>
      <c r="F52" s="183">
        <f t="shared" si="1"/>
        <v>246160.62</v>
      </c>
      <c r="G52" s="193"/>
      <c r="H52" s="193"/>
      <c r="I52" s="32"/>
      <c r="J52" s="31">
        <v>128</v>
      </c>
      <c r="K52" s="182">
        <v>182771</v>
      </c>
      <c r="L52" s="174">
        <f>0.2*94.94+0.03*342.11</f>
        <v>29.2513</v>
      </c>
      <c r="M52" s="182">
        <v>89</v>
      </c>
      <c r="N52" s="173">
        <f t="shared" si="7"/>
        <v>9.460104</v>
      </c>
      <c r="O52" s="173">
        <f t="shared" si="8"/>
        <v>11.49402636</v>
      </c>
      <c r="P52" s="173">
        <f t="shared" si="9"/>
        <v>139.20543036</v>
      </c>
      <c r="Q52" s="182">
        <f t="shared" si="16"/>
        <v>118</v>
      </c>
      <c r="R52" s="173">
        <f t="shared" si="10"/>
        <v>169153</v>
      </c>
      <c r="S52" s="184" t="s">
        <v>288</v>
      </c>
      <c r="T52" s="184"/>
      <c r="U52" s="175"/>
      <c r="V52" s="178"/>
      <c r="W52" s="178"/>
      <c r="X52" s="194"/>
      <c r="Y52" s="146"/>
      <c r="Z52" s="145"/>
      <c r="AB52" s="146"/>
    </row>
    <row r="53" ht="65.25" customHeight="1" spans="1:28">
      <c r="A53" s="171" t="s">
        <v>386</v>
      </c>
      <c r="B53" s="172" t="s">
        <v>387</v>
      </c>
      <c r="C53" s="172" t="s">
        <v>48</v>
      </c>
      <c r="D53" s="182">
        <v>2789</v>
      </c>
      <c r="E53" s="173" t="s">
        <v>388</v>
      </c>
      <c r="F53" s="183">
        <f t="shared" si="1"/>
        <v>257564.15</v>
      </c>
      <c r="G53" s="193"/>
      <c r="H53" s="193">
        <v>79.75</v>
      </c>
      <c r="I53" s="32"/>
      <c r="J53" s="32">
        <v>66.3</v>
      </c>
      <c r="K53" s="182">
        <f t="shared" si="5"/>
        <v>184911</v>
      </c>
      <c r="L53" s="174">
        <f>6.9/100*94.94+1.34/100*593.33+2.56/100*470.1</f>
        <v>26.536042</v>
      </c>
      <c r="M53" s="182">
        <v>35</v>
      </c>
      <c r="N53" s="173">
        <f t="shared" si="7"/>
        <v>4.92288336</v>
      </c>
      <c r="O53" s="173">
        <f t="shared" si="8"/>
        <v>5.9813032824</v>
      </c>
      <c r="P53" s="173">
        <f t="shared" si="9"/>
        <v>72.4402286424</v>
      </c>
      <c r="Q53" s="182">
        <f t="shared" si="16"/>
        <v>62</v>
      </c>
      <c r="R53" s="173">
        <f t="shared" si="10"/>
        <v>172918</v>
      </c>
      <c r="S53" s="184" t="s">
        <v>288</v>
      </c>
      <c r="T53" s="184"/>
      <c r="U53" s="175"/>
      <c r="V53" s="178"/>
      <c r="W53" s="178"/>
      <c r="X53" s="194"/>
      <c r="Y53" s="146"/>
      <c r="Z53" s="145"/>
      <c r="AB53" s="146"/>
    </row>
    <row r="54" ht="33" customHeight="1" spans="1:28">
      <c r="A54" s="171" t="s">
        <v>389</v>
      </c>
      <c r="B54" s="172" t="s">
        <v>390</v>
      </c>
      <c r="C54" s="172"/>
      <c r="D54" s="182"/>
      <c r="E54" s="173"/>
      <c r="F54" s="183">
        <f t="shared" si="1"/>
        <v>0</v>
      </c>
      <c r="G54" s="193"/>
      <c r="H54" s="193"/>
      <c r="I54" s="32"/>
      <c r="J54" s="31">
        <f t="shared" si="6"/>
        <v>0</v>
      </c>
      <c r="K54" s="182">
        <f t="shared" si="5"/>
        <v>0</v>
      </c>
      <c r="L54" s="174"/>
      <c r="M54" s="182"/>
      <c r="N54" s="173">
        <f t="shared" si="7"/>
        <v>0</v>
      </c>
      <c r="O54" s="173">
        <f t="shared" si="8"/>
        <v>0</v>
      </c>
      <c r="P54" s="173">
        <f t="shared" si="9"/>
        <v>0</v>
      </c>
      <c r="Q54" s="182">
        <f t="shared" si="16"/>
        <v>0</v>
      </c>
      <c r="R54" s="173">
        <f t="shared" si="10"/>
        <v>0</v>
      </c>
      <c r="S54" s="175"/>
      <c r="T54" s="184"/>
      <c r="U54" s="175"/>
      <c r="V54" s="178"/>
      <c r="W54" s="178"/>
      <c r="X54" s="194"/>
      <c r="Y54" s="146"/>
      <c r="Z54" s="145"/>
      <c r="AB54" s="146"/>
    </row>
    <row r="55" ht="65.25" customHeight="1" spans="1:28">
      <c r="A55" s="171" t="s">
        <v>391</v>
      </c>
      <c r="B55" s="172" t="s">
        <v>392</v>
      </c>
      <c r="C55" s="172" t="s">
        <v>393</v>
      </c>
      <c r="D55" s="182">
        <v>1040</v>
      </c>
      <c r="E55" s="173" t="s">
        <v>394</v>
      </c>
      <c r="F55" s="183">
        <f t="shared" si="1"/>
        <v>69409.6</v>
      </c>
      <c r="G55" s="193"/>
      <c r="H55" s="193">
        <v>67.9</v>
      </c>
      <c r="I55" s="32"/>
      <c r="J55" s="31">
        <v>46</v>
      </c>
      <c r="K55" s="182">
        <v>47736</v>
      </c>
      <c r="L55" s="174">
        <f>(6.2+17.7)/1000*1.47*94.94+0.45/1000*1.47*342.11+0.44/1000*1.47*184.23+30/100+0.99/100*342.11</f>
        <v>7.367881749</v>
      </c>
      <c r="M55" s="182">
        <v>35</v>
      </c>
      <c r="N55" s="173">
        <f t="shared" si="7"/>
        <v>3.38943053992</v>
      </c>
      <c r="O55" s="173">
        <f t="shared" si="8"/>
        <v>4.1181581060028</v>
      </c>
      <c r="P55" s="173">
        <f t="shared" si="9"/>
        <v>49.8754703949228</v>
      </c>
      <c r="Q55" s="182">
        <f t="shared" si="16"/>
        <v>42</v>
      </c>
      <c r="R55" s="173">
        <f t="shared" si="10"/>
        <v>43680</v>
      </c>
      <c r="S55" s="184" t="s">
        <v>288</v>
      </c>
      <c r="T55" s="184"/>
      <c r="U55" s="175"/>
      <c r="V55" s="178"/>
      <c r="W55" s="178"/>
      <c r="X55" s="194"/>
      <c r="Y55" s="146"/>
      <c r="Z55" s="145"/>
      <c r="AB55" s="146"/>
    </row>
    <row r="56" ht="65.25" customHeight="1" spans="1:28">
      <c r="A56" s="171" t="s">
        <v>395</v>
      </c>
      <c r="B56" s="172" t="s">
        <v>396</v>
      </c>
      <c r="C56" s="172" t="s">
        <v>287</v>
      </c>
      <c r="D56" s="182">
        <f>320+16</f>
        <v>336</v>
      </c>
      <c r="E56" s="173" t="s">
        <v>397</v>
      </c>
      <c r="F56" s="183">
        <f t="shared" si="1"/>
        <v>67200</v>
      </c>
      <c r="G56" s="193"/>
      <c r="H56" s="193"/>
      <c r="I56" s="32"/>
      <c r="J56" s="31">
        <f t="shared" si="6"/>
        <v>188.7</v>
      </c>
      <c r="K56" s="182">
        <f t="shared" si="5"/>
        <v>63403</v>
      </c>
      <c r="L56" s="174"/>
      <c r="M56" s="182"/>
      <c r="N56" s="173">
        <f t="shared" si="7"/>
        <v>0</v>
      </c>
      <c r="O56" s="173">
        <f t="shared" si="8"/>
        <v>0</v>
      </c>
      <c r="P56" s="173">
        <f t="shared" si="9"/>
        <v>0</v>
      </c>
      <c r="Q56" s="173">
        <v>185</v>
      </c>
      <c r="R56" s="173">
        <f t="shared" si="10"/>
        <v>62160</v>
      </c>
      <c r="S56" s="184" t="s">
        <v>288</v>
      </c>
      <c r="T56" s="184"/>
      <c r="U56" s="175"/>
      <c r="V56" s="178" t="s">
        <v>398</v>
      </c>
      <c r="W56" s="178"/>
      <c r="X56" s="194"/>
      <c r="Y56" s="146"/>
      <c r="Z56" s="145"/>
      <c r="AB56" s="146"/>
    </row>
    <row r="57" ht="65.25" customHeight="1" spans="1:28">
      <c r="A57" s="197" t="s">
        <v>122</v>
      </c>
      <c r="B57" s="198"/>
      <c r="C57" s="199"/>
      <c r="D57" s="182"/>
      <c r="E57" s="173">
        <f>F57</f>
        <v>24521250</v>
      </c>
      <c r="F57" s="172">
        <f>ROUND(SUM(F8:F56),0)</f>
        <v>24521250</v>
      </c>
      <c r="G57" s="193"/>
      <c r="H57" s="193"/>
      <c r="I57" s="32"/>
      <c r="J57" s="32">
        <f>K57</f>
        <v>19727804</v>
      </c>
      <c r="K57" s="191">
        <f>ROUND(SUM(K8:K56),0)</f>
        <v>19727804</v>
      </c>
      <c r="L57" s="174"/>
      <c r="M57" s="174"/>
      <c r="N57" s="174"/>
      <c r="O57" s="174"/>
      <c r="P57" s="174"/>
      <c r="Q57" s="182"/>
      <c r="R57" s="191">
        <f>ROUND(SUM(R8:R56),0)</f>
        <v>19550117</v>
      </c>
      <c r="S57" s="196"/>
      <c r="T57" s="184"/>
      <c r="U57" s="175"/>
      <c r="V57" s="175">
        <f>R57/E57</f>
        <v>0.79727244736708</v>
      </c>
      <c r="W57" s="178"/>
      <c r="X57" s="194"/>
      <c r="Y57" s="146"/>
      <c r="Z57" s="145"/>
      <c r="AB57" s="146"/>
    </row>
    <row r="58" ht="106.5" customHeight="1" spans="1:28">
      <c r="A58" s="200" t="s">
        <v>399</v>
      </c>
      <c r="B58" s="200"/>
      <c r="C58" s="200"/>
      <c r="D58" s="200"/>
      <c r="E58" s="200"/>
      <c r="F58" s="200"/>
      <c r="G58" s="200"/>
      <c r="H58" s="200"/>
      <c r="I58" s="200"/>
      <c r="J58" s="200"/>
      <c r="K58" s="200"/>
      <c r="L58" s="200"/>
      <c r="M58" s="200"/>
      <c r="N58" s="200"/>
      <c r="O58" s="200"/>
      <c r="P58" s="200"/>
      <c r="Q58" s="200"/>
      <c r="R58" s="200"/>
      <c r="S58" s="200"/>
      <c r="T58" s="200"/>
      <c r="U58" s="200"/>
      <c r="V58" s="200"/>
    </row>
    <row r="59" ht="44.25" customHeight="1" spans="1:28">
      <c r="A59" s="201" t="s">
        <v>124</v>
      </c>
      <c r="B59" s="202"/>
      <c r="C59" s="202"/>
      <c r="D59" s="202"/>
      <c r="E59" s="201"/>
      <c r="F59" s="201"/>
      <c r="G59" s="201"/>
      <c r="H59" s="201"/>
      <c r="I59" s="201"/>
      <c r="J59" s="113"/>
      <c r="K59" s="201"/>
      <c r="L59" s="201"/>
      <c r="M59" s="201"/>
      <c r="N59" s="201"/>
      <c r="O59" s="201"/>
      <c r="P59" s="201"/>
      <c r="Q59" s="201"/>
      <c r="R59" s="201"/>
      <c r="S59" s="201"/>
      <c r="T59" s="201"/>
      <c r="U59" s="201"/>
      <c r="V59" s="202"/>
    </row>
    <row r="60" ht="44.25" customHeight="1" spans="1:28">
      <c r="A60" s="201" t="s">
        <v>175</v>
      </c>
      <c r="B60" s="202"/>
      <c r="C60" s="202"/>
      <c r="D60" s="202"/>
      <c r="E60" s="201"/>
      <c r="F60" s="201"/>
      <c r="G60" s="201"/>
      <c r="H60" s="201"/>
      <c r="I60" s="201"/>
      <c r="J60" s="113"/>
      <c r="K60" s="201"/>
      <c r="L60" s="201"/>
      <c r="M60" s="201"/>
      <c r="N60" s="201"/>
      <c r="O60" s="201"/>
      <c r="P60" s="201"/>
      <c r="Q60" s="201"/>
      <c r="R60" s="201"/>
      <c r="S60" s="201"/>
      <c r="T60" s="201"/>
      <c r="U60" s="201"/>
      <c r="V60" s="202"/>
    </row>
    <row r="61" ht="44.25" customHeight="1" spans="1:28">
      <c r="A61" s="201" t="s">
        <v>176</v>
      </c>
      <c r="B61" s="202"/>
      <c r="C61" s="202"/>
      <c r="D61" s="202"/>
      <c r="E61" s="201"/>
      <c r="F61" s="201"/>
      <c r="G61" s="201"/>
      <c r="H61" s="201"/>
      <c r="I61" s="201"/>
      <c r="J61" s="113"/>
      <c r="K61" s="201"/>
      <c r="L61" s="201"/>
      <c r="M61" s="201"/>
      <c r="N61" s="201"/>
      <c r="O61" s="201"/>
      <c r="P61" s="201"/>
      <c r="Q61" s="201"/>
      <c r="R61" s="201"/>
      <c r="S61" s="201"/>
      <c r="T61" s="201"/>
      <c r="U61" s="201"/>
      <c r="V61" s="202"/>
    </row>
    <row r="62" ht="44.25" customHeight="1" spans="1:28">
      <c r="A62" s="201" t="s">
        <v>400</v>
      </c>
      <c r="B62" s="202"/>
      <c r="C62" s="202"/>
      <c r="D62" s="202"/>
      <c r="E62" s="201"/>
      <c r="F62" s="201"/>
      <c r="G62" s="201"/>
      <c r="H62" s="201"/>
      <c r="I62" s="201"/>
      <c r="J62" s="113"/>
      <c r="K62" s="201"/>
      <c r="L62" s="201"/>
      <c r="M62" s="201"/>
      <c r="N62" s="201"/>
      <c r="O62" s="201"/>
      <c r="P62" s="201"/>
      <c r="Q62" s="201"/>
      <c r="R62" s="201"/>
      <c r="S62" s="201"/>
      <c r="T62" s="201"/>
      <c r="U62" s="201"/>
      <c r="V62" s="202"/>
    </row>
    <row r="63" ht="44.25" customHeight="1" spans="1:28">
      <c r="A63" s="203" t="s">
        <v>401</v>
      </c>
      <c r="B63" s="203"/>
      <c r="C63" s="203"/>
      <c r="D63" s="203"/>
      <c r="E63" s="203"/>
      <c r="F63" s="203"/>
      <c r="G63" s="203"/>
      <c r="H63" s="203"/>
      <c r="I63" s="203"/>
      <c r="J63" s="203"/>
      <c r="K63" s="203"/>
      <c r="L63" s="203"/>
      <c r="M63" s="203"/>
      <c r="N63" s="203"/>
      <c r="O63" s="203"/>
      <c r="P63" s="203"/>
      <c r="Q63" s="203"/>
      <c r="R63" s="203"/>
      <c r="S63" s="203"/>
      <c r="T63" s="203"/>
      <c r="U63" s="203"/>
      <c r="V63" s="203"/>
    </row>
    <row r="64" ht="44.25" customHeight="1" spans="1:28">
      <c r="A64" s="203" t="s">
        <v>179</v>
      </c>
      <c r="B64" s="203"/>
      <c r="C64" s="203"/>
      <c r="D64" s="203"/>
      <c r="E64" s="203"/>
      <c r="F64" s="203"/>
      <c r="G64" s="203"/>
      <c r="H64" s="203"/>
      <c r="I64" s="203"/>
      <c r="J64" s="203"/>
      <c r="K64" s="203"/>
      <c r="L64" s="203"/>
      <c r="M64" s="203"/>
      <c r="N64" s="203"/>
      <c r="O64" s="203"/>
      <c r="P64" s="203"/>
      <c r="Q64" s="203"/>
      <c r="R64" s="203"/>
      <c r="S64" s="203"/>
      <c r="T64" s="203"/>
      <c r="U64" s="203"/>
      <c r="V64" s="203"/>
    </row>
    <row r="65" ht="44.25" customHeight="1" spans="1:22">
      <c r="A65" s="204" t="s">
        <v>180</v>
      </c>
      <c r="B65" s="204"/>
      <c r="C65" s="204"/>
      <c r="D65" s="204"/>
      <c r="E65" s="204"/>
      <c r="F65" s="204"/>
      <c r="G65" s="204"/>
      <c r="H65" s="204"/>
      <c r="I65" s="204"/>
      <c r="J65" s="204"/>
      <c r="K65" s="204"/>
      <c r="L65" s="204"/>
      <c r="M65" s="204"/>
      <c r="N65" s="204"/>
      <c r="O65" s="204"/>
      <c r="P65" s="204"/>
      <c r="Q65" s="204"/>
      <c r="R65" s="204"/>
      <c r="S65" s="204"/>
      <c r="T65" s="204"/>
      <c r="U65" s="204"/>
      <c r="V65" s="204"/>
    </row>
  </sheetData>
  <autoFilter xmlns:etc="http://www.wps.cn/officeDocument/2017/etCustomData" ref="T2:T17" etc:filterBottomFollowUsedRange="0">
    <extLst/>
  </autoFilter>
  <mergeCells count="26">
    <mergeCell ref="A2:W2"/>
    <mergeCell ref="J3:K3"/>
    <mergeCell ref="L3:P3"/>
    <mergeCell ref="Q3:R3"/>
    <mergeCell ref="A57:C57"/>
    <mergeCell ref="A58:V58"/>
    <mergeCell ref="A59:V59"/>
    <mergeCell ref="A60:V60"/>
    <mergeCell ref="A61:V61"/>
    <mergeCell ref="A62:V62"/>
    <mergeCell ref="A63:V63"/>
    <mergeCell ref="A64:V64"/>
    <mergeCell ref="A65:V65"/>
    <mergeCell ref="A3:A4"/>
    <mergeCell ref="B3:B4"/>
    <mergeCell ref="C3:C4"/>
    <mergeCell ref="D3:D4"/>
    <mergeCell ref="E3:E4"/>
    <mergeCell ref="G3:G4"/>
    <mergeCell ref="H3:H4"/>
    <mergeCell ref="I3:I4"/>
    <mergeCell ref="S3:S4"/>
    <mergeCell ref="T3:T4"/>
    <mergeCell ref="U3:U4"/>
    <mergeCell ref="V3:V4"/>
    <mergeCell ref="W3:W4"/>
  </mergeCells>
  <conditionalFormatting sqref="J2">
    <cfRule type="cellIs" dxfId="0" priority="1" stopIfTrue="1" operator="lessThan">
      <formula>0</formula>
    </cfRule>
  </conditionalFormatting>
  <printOptions horizontalCentered="1"/>
  <pageMargins left="0.196527777777778" right="0.196527777777778" top="0.590277777777778" bottom="0.590277777777778" header="0.314583333333333" footer="0.314583333333333"/>
  <pageSetup paperSize="9" scale="34" fitToHeight="0" orientation="landscape" blackAndWhite="1"/>
  <headerFooter>
    <oddFooter>&amp;C&amp;"宋体,常规"第&amp;"Arial,常规" &amp;P &amp;"宋体,常规"页，共&amp;"Arial,常规" &amp;N &amp;"宋体,常规"页</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
  <sheetViews>
    <sheetView workbookViewId="0">
      <selection activeCell="B23" sqref="B23"/>
    </sheetView>
  </sheetViews>
  <sheetFormatPr defaultColWidth="9.14285714285714" defaultRowHeight="12.75"/>
  <sheetData/>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AI356"/>
  <sheetViews>
    <sheetView showZeros="0" view="pageBreakPreview" zoomScale="40" zoomScaleNormal="85" workbookViewId="0">
      <pane xSplit="3" ySplit="5" topLeftCell="D6" activePane="bottomRight" state="frozen"/>
      <selection/>
      <selection pane="topRight"/>
      <selection pane="bottomLeft"/>
      <selection pane="bottomRight" activeCell="B23" sqref="B23"/>
    </sheetView>
  </sheetViews>
  <sheetFormatPr defaultColWidth="9.14285714285714" defaultRowHeight="23.25"/>
  <cols>
    <col min="1" max="1" width="14.2857142857143" style="114" customWidth="1"/>
    <col min="2" max="2" width="24.8571428571429" style="3" customWidth="1"/>
    <col min="3" max="3" width="9.28571428571429" style="3" customWidth="1"/>
    <col min="4" max="4" width="20.4285714285714" style="3" customWidth="1"/>
    <col min="5" max="5" width="11.4285714285714" style="3" hidden="1" customWidth="1"/>
    <col min="6" max="6" width="4.71428571428571" style="115" hidden="1" customWidth="1"/>
    <col min="7" max="7" width="17.8571428571429" style="115" customWidth="1"/>
    <col min="8" max="8" width="18" style="116" customWidth="1"/>
    <col min="9" max="9" width="21.4285714285714" style="115" customWidth="1"/>
    <col min="10" max="10" width="24.2857142857143" style="4" customWidth="1"/>
    <col min="11" max="11" width="40.5714285714286" style="4" customWidth="1"/>
    <col min="12" max="12" width="66.4285714285714" style="4" customWidth="1"/>
    <col min="13" max="13" width="27.4285714285714" style="4" customWidth="1"/>
    <col min="14" max="30" width="9.14285714285714" style="5" hidden="1" customWidth="1"/>
    <col min="31" max="31" width="5.42857142857143" style="5" customWidth="1"/>
    <col min="32" max="16384" width="9.14285714285714" style="5"/>
  </cols>
  <sheetData>
    <row r="1" s="1" customFormat="1" ht="42.75" customHeight="1" spans="1:13">
      <c r="A1" s="6" t="s">
        <v>402</v>
      </c>
      <c r="B1" s="6"/>
      <c r="C1" s="6"/>
      <c r="D1" s="6"/>
      <c r="E1" s="6"/>
      <c r="F1" s="6"/>
      <c r="G1" s="6"/>
      <c r="H1" s="6"/>
      <c r="I1" s="6"/>
      <c r="J1" s="6"/>
      <c r="K1" s="6"/>
      <c r="L1" s="6"/>
      <c r="M1" s="6"/>
    </row>
    <row r="2" ht="47.25" customHeight="1" spans="1:13">
      <c r="A2" s="30" t="s">
        <v>1</v>
      </c>
      <c r="B2" s="35" t="s">
        <v>2</v>
      </c>
      <c r="C2" s="35" t="s">
        <v>3</v>
      </c>
      <c r="D2" s="11" t="s">
        <v>4</v>
      </c>
      <c r="E2" s="12"/>
      <c r="F2" s="12"/>
      <c r="G2" s="13" t="s">
        <v>403</v>
      </c>
      <c r="H2" s="14" t="s">
        <v>6</v>
      </c>
      <c r="I2" s="15"/>
      <c r="J2" s="35" t="s">
        <v>7</v>
      </c>
      <c r="K2" s="35" t="s">
        <v>8</v>
      </c>
      <c r="L2" s="35" t="s">
        <v>9</v>
      </c>
      <c r="M2" s="35" t="s">
        <v>10</v>
      </c>
    </row>
    <row r="3" s="1" customFormat="1" ht="12" customHeight="1" spans="1:13">
      <c r="A3" s="30"/>
      <c r="B3" s="35"/>
      <c r="C3" s="35"/>
      <c r="D3" s="18"/>
      <c r="E3" s="35" t="s">
        <v>404</v>
      </c>
      <c r="F3" s="31" t="s">
        <v>405</v>
      </c>
      <c r="G3" s="20"/>
      <c r="H3" s="21" t="s">
        <v>13</v>
      </c>
      <c r="I3" s="19" t="s">
        <v>14</v>
      </c>
      <c r="J3" s="35"/>
      <c r="K3" s="35"/>
      <c r="L3" s="35"/>
      <c r="M3" s="35"/>
    </row>
    <row r="4" s="1" customFormat="1" ht="66.75" customHeight="1" spans="1:13">
      <c r="A4" s="30"/>
      <c r="B4" s="35"/>
      <c r="C4" s="35"/>
      <c r="D4" s="24"/>
      <c r="E4" s="35"/>
      <c r="F4" s="31"/>
      <c r="G4" s="26"/>
      <c r="H4" s="27"/>
      <c r="I4" s="25"/>
      <c r="J4" s="35"/>
      <c r="K4" s="35"/>
      <c r="L4" s="35"/>
      <c r="M4" s="35"/>
    </row>
    <row r="5" s="1" customFormat="1" ht="24" customHeight="1" spans="1:13">
      <c r="A5" s="30" t="s">
        <v>15</v>
      </c>
      <c r="B5" s="30"/>
      <c r="C5" s="30" t="s">
        <v>16</v>
      </c>
      <c r="D5" s="31" t="s">
        <v>17</v>
      </c>
      <c r="E5" s="30" t="s">
        <v>19</v>
      </c>
      <c r="F5" s="31" t="s">
        <v>406</v>
      </c>
      <c r="G5" s="31" t="s">
        <v>18</v>
      </c>
      <c r="H5" s="32" t="s">
        <v>19</v>
      </c>
      <c r="I5" s="31" t="s">
        <v>406</v>
      </c>
      <c r="J5" s="35"/>
      <c r="K5" s="35"/>
      <c r="L5" s="35"/>
      <c r="M5" s="35"/>
    </row>
    <row r="6" s="1" customFormat="1" ht="75.75" customHeight="1" spans="1:13">
      <c r="A6" s="30" t="s">
        <v>29</v>
      </c>
      <c r="B6" s="34" t="s">
        <v>30</v>
      </c>
      <c r="C6" s="30" t="s">
        <v>23</v>
      </c>
      <c r="D6" s="31">
        <v>1</v>
      </c>
      <c r="E6" s="35">
        <v>5000</v>
      </c>
      <c r="F6" s="88">
        <f>ROUND(E6*D6,0)</f>
        <v>5000</v>
      </c>
      <c r="G6" s="30"/>
      <c r="H6" s="36">
        <f>30000</f>
        <v>30000</v>
      </c>
      <c r="I6" s="88">
        <f>ROUND(D6*H6,0)</f>
        <v>30000</v>
      </c>
      <c r="J6" s="38" t="s">
        <v>407</v>
      </c>
      <c r="K6" s="39" t="s">
        <v>408</v>
      </c>
      <c r="L6" s="40" t="s">
        <v>409</v>
      </c>
      <c r="M6" s="35"/>
    </row>
    <row r="7" s="1" customFormat="1" ht="75.75" customHeight="1" spans="1:13">
      <c r="A7" s="30"/>
      <c r="B7" s="34" t="s">
        <v>410</v>
      </c>
      <c r="C7" s="30" t="s">
        <v>23</v>
      </c>
      <c r="D7" s="31">
        <v>1</v>
      </c>
      <c r="E7" s="35"/>
      <c r="F7" s="88"/>
      <c r="G7" s="30"/>
      <c r="H7" s="36">
        <f>6100000*0.01</f>
        <v>61000</v>
      </c>
      <c r="I7" s="88">
        <f>ROUND(D7*H7,0)</f>
        <v>61000</v>
      </c>
      <c r="J7" s="38" t="s">
        <v>407</v>
      </c>
      <c r="K7" s="39" t="s">
        <v>408</v>
      </c>
      <c r="L7" s="40" t="s">
        <v>411</v>
      </c>
      <c r="M7" s="35"/>
    </row>
    <row r="8" ht="22.5" spans="1:13">
      <c r="A8" s="72" t="s">
        <v>412</v>
      </c>
      <c r="B8" s="42" t="s">
        <v>413</v>
      </c>
      <c r="C8" s="41" t="s">
        <v>145</v>
      </c>
      <c r="D8" s="94"/>
      <c r="E8" s="43"/>
      <c r="F8" s="88">
        <f t="shared" ref="F8:F37" si="0">ROUND(E8*D8,0)</f>
        <v>0</v>
      </c>
      <c r="G8" s="94"/>
      <c r="H8" s="36"/>
      <c r="I8" s="88">
        <f t="shared" ref="I8:I37" si="1">ROUND(D8*H8,0)</f>
        <v>0</v>
      </c>
      <c r="J8" s="46"/>
      <c r="K8" s="46"/>
      <c r="L8" s="46"/>
      <c r="M8" s="46"/>
    </row>
    <row r="9" ht="22.5" spans="1:13">
      <c r="A9" s="72" t="s">
        <v>414</v>
      </c>
      <c r="B9" s="42" t="s">
        <v>415</v>
      </c>
      <c r="C9" s="41" t="s">
        <v>145</v>
      </c>
      <c r="D9" s="94"/>
      <c r="E9" s="43"/>
      <c r="F9" s="88">
        <f t="shared" si="0"/>
        <v>0</v>
      </c>
      <c r="G9" s="94"/>
      <c r="H9" s="36"/>
      <c r="I9" s="88">
        <f t="shared" si="1"/>
        <v>0</v>
      </c>
      <c r="J9" s="46"/>
      <c r="K9" s="46"/>
      <c r="L9" s="46"/>
      <c r="M9" s="46"/>
    </row>
    <row r="10" ht="69.75" customHeight="1" spans="1:13">
      <c r="A10" s="72" t="s">
        <v>94</v>
      </c>
      <c r="B10" s="42" t="s">
        <v>416</v>
      </c>
      <c r="C10" s="41" t="s">
        <v>39</v>
      </c>
      <c r="D10" s="94">
        <v>1174</v>
      </c>
      <c r="E10" s="43">
        <v>15</v>
      </c>
      <c r="F10" s="88">
        <f t="shared" si="0"/>
        <v>17610</v>
      </c>
      <c r="G10" s="94">
        <v>208.32</v>
      </c>
      <c r="H10" s="36">
        <v>15</v>
      </c>
      <c r="I10" s="88">
        <f t="shared" si="1"/>
        <v>17610</v>
      </c>
      <c r="J10" s="46" t="s">
        <v>417</v>
      </c>
      <c r="K10" s="46" t="s">
        <v>418</v>
      </c>
      <c r="L10" s="46" t="s">
        <v>419</v>
      </c>
      <c r="M10" s="46"/>
    </row>
    <row r="11" ht="22.5" spans="1:13">
      <c r="A11" s="72" t="s">
        <v>420</v>
      </c>
      <c r="B11" s="42" t="s">
        <v>421</v>
      </c>
      <c r="C11" s="41" t="s">
        <v>145</v>
      </c>
      <c r="D11" s="94">
        <v>0</v>
      </c>
      <c r="E11" s="43"/>
      <c r="F11" s="88">
        <f t="shared" si="0"/>
        <v>0</v>
      </c>
      <c r="G11" s="94"/>
      <c r="H11" s="36"/>
      <c r="I11" s="88">
        <f t="shared" si="1"/>
        <v>0</v>
      </c>
      <c r="J11" s="46"/>
      <c r="K11" s="46"/>
      <c r="L11" s="46"/>
      <c r="M11" s="46"/>
    </row>
    <row r="12" ht="22.5" spans="1:13">
      <c r="A12" s="72" t="s">
        <v>98</v>
      </c>
      <c r="B12" s="42" t="s">
        <v>422</v>
      </c>
      <c r="C12" s="41" t="s">
        <v>145</v>
      </c>
      <c r="D12" s="94">
        <v>0</v>
      </c>
      <c r="E12" s="43"/>
      <c r="F12" s="88">
        <f t="shared" si="0"/>
        <v>0</v>
      </c>
      <c r="G12" s="94"/>
      <c r="H12" s="36"/>
      <c r="I12" s="88">
        <f t="shared" si="1"/>
        <v>0</v>
      </c>
      <c r="J12" s="46"/>
      <c r="K12" s="46"/>
      <c r="L12" s="46"/>
      <c r="M12" s="46"/>
    </row>
    <row r="13" ht="128.25" customHeight="1" spans="1:13">
      <c r="A13" s="72" t="s">
        <v>78</v>
      </c>
      <c r="B13" s="42" t="s">
        <v>423</v>
      </c>
      <c r="C13" s="41" t="s">
        <v>39</v>
      </c>
      <c r="D13" s="94">
        <v>385.2</v>
      </c>
      <c r="E13" s="43">
        <v>130</v>
      </c>
      <c r="F13" s="88">
        <f t="shared" si="0"/>
        <v>50076</v>
      </c>
      <c r="G13" s="94">
        <v>784.34</v>
      </c>
      <c r="H13" s="48">
        <v>140</v>
      </c>
      <c r="I13" s="88">
        <f t="shared" si="1"/>
        <v>53928</v>
      </c>
      <c r="J13" s="46" t="s">
        <v>424</v>
      </c>
      <c r="K13" s="46" t="s">
        <v>418</v>
      </c>
      <c r="L13" s="49" t="s">
        <v>425</v>
      </c>
      <c r="M13" s="46" t="s">
        <v>426</v>
      </c>
    </row>
    <row r="14" ht="40.5" customHeight="1" spans="1:13">
      <c r="A14" s="72" t="s">
        <v>427</v>
      </c>
      <c r="B14" s="42" t="s">
        <v>428</v>
      </c>
      <c r="C14" s="41" t="s">
        <v>145</v>
      </c>
      <c r="D14" s="94">
        <v>0</v>
      </c>
      <c r="E14" s="43"/>
      <c r="F14" s="88">
        <f t="shared" si="0"/>
        <v>0</v>
      </c>
      <c r="G14" s="94"/>
      <c r="H14" s="36"/>
      <c r="I14" s="88">
        <f t="shared" si="1"/>
        <v>0</v>
      </c>
      <c r="J14" s="46"/>
      <c r="K14" s="46"/>
      <c r="L14" s="46"/>
      <c r="M14" s="46"/>
    </row>
    <row r="15" ht="146.25" customHeight="1" spans="1:13">
      <c r="A15" s="72" t="s">
        <v>94</v>
      </c>
      <c r="B15" s="42" t="s">
        <v>203</v>
      </c>
      <c r="C15" s="41" t="s">
        <v>39</v>
      </c>
      <c r="D15" s="94">
        <v>417.2</v>
      </c>
      <c r="E15" s="43">
        <v>120</v>
      </c>
      <c r="F15" s="88">
        <f t="shared" si="0"/>
        <v>50064</v>
      </c>
      <c r="G15" s="94">
        <v>827.48</v>
      </c>
      <c r="H15" s="36">
        <v>140</v>
      </c>
      <c r="I15" s="88">
        <f t="shared" si="1"/>
        <v>58408</v>
      </c>
      <c r="J15" s="46" t="s">
        <v>424</v>
      </c>
      <c r="K15" s="46" t="s">
        <v>418</v>
      </c>
      <c r="L15" s="49" t="s">
        <v>429</v>
      </c>
      <c r="M15" s="46" t="s">
        <v>430</v>
      </c>
    </row>
    <row r="16" ht="138" customHeight="1" spans="1:13">
      <c r="A16" s="72" t="s">
        <v>98</v>
      </c>
      <c r="B16" s="42" t="s">
        <v>197</v>
      </c>
      <c r="C16" s="41" t="s">
        <v>39</v>
      </c>
      <c r="D16" s="94">
        <v>9329.4</v>
      </c>
      <c r="E16" s="43">
        <v>120</v>
      </c>
      <c r="F16" s="88">
        <f t="shared" si="0"/>
        <v>1119528</v>
      </c>
      <c r="G16" s="94">
        <v>780.17</v>
      </c>
      <c r="H16" s="36">
        <v>140</v>
      </c>
      <c r="I16" s="88">
        <f t="shared" si="1"/>
        <v>1306116</v>
      </c>
      <c r="J16" s="46" t="s">
        <v>424</v>
      </c>
      <c r="K16" s="46" t="s">
        <v>418</v>
      </c>
      <c r="L16" s="49" t="s">
        <v>431</v>
      </c>
      <c r="M16" s="46" t="s">
        <v>430</v>
      </c>
    </row>
    <row r="17" ht="107.25" customHeight="1" spans="1:13">
      <c r="A17" s="50" t="s">
        <v>200</v>
      </c>
      <c r="B17" s="117" t="s">
        <v>432</v>
      </c>
      <c r="C17" s="118"/>
      <c r="D17" s="94"/>
      <c r="E17" s="43"/>
      <c r="F17" s="88">
        <f t="shared" si="0"/>
        <v>0</v>
      </c>
      <c r="G17" s="119"/>
      <c r="H17" s="36"/>
      <c r="I17" s="88">
        <f t="shared" si="1"/>
        <v>0</v>
      </c>
      <c r="J17" s="46"/>
      <c r="K17" s="46"/>
      <c r="L17" s="46"/>
      <c r="M17" s="46"/>
    </row>
    <row r="18" ht="22.5" spans="1:13">
      <c r="A18" s="67" t="s">
        <v>433</v>
      </c>
      <c r="B18" s="55" t="s">
        <v>223</v>
      </c>
      <c r="C18" s="55" t="s">
        <v>145</v>
      </c>
      <c r="D18" s="57"/>
      <c r="E18" s="43"/>
      <c r="F18" s="88">
        <f t="shared" si="0"/>
        <v>0</v>
      </c>
      <c r="G18" s="57"/>
      <c r="H18" s="36"/>
      <c r="I18" s="88">
        <f t="shared" si="1"/>
        <v>0</v>
      </c>
      <c r="J18" s="46"/>
      <c r="K18" s="58"/>
      <c r="L18" s="58"/>
      <c r="M18" s="46"/>
    </row>
    <row r="19" ht="49.5" customHeight="1" spans="1:13">
      <c r="A19" s="67" t="s">
        <v>434</v>
      </c>
      <c r="B19" s="55" t="s">
        <v>435</v>
      </c>
      <c r="C19" s="55" t="s">
        <v>145</v>
      </c>
      <c r="D19" s="57"/>
      <c r="E19" s="43"/>
      <c r="F19" s="88">
        <f t="shared" si="0"/>
        <v>0</v>
      </c>
      <c r="G19" s="57"/>
      <c r="H19" s="36"/>
      <c r="I19" s="88">
        <f t="shared" si="1"/>
        <v>0</v>
      </c>
      <c r="J19" s="46"/>
      <c r="K19" s="58"/>
      <c r="L19" s="58"/>
      <c r="M19" s="46"/>
    </row>
    <row r="20" ht="119.25" customHeight="1" spans="1:13">
      <c r="A20" s="67" t="s">
        <v>98</v>
      </c>
      <c r="B20" s="55" t="s">
        <v>436</v>
      </c>
      <c r="C20" s="55" t="s">
        <v>437</v>
      </c>
      <c r="D20" s="57">
        <v>90629</v>
      </c>
      <c r="E20" s="43">
        <v>0.65</v>
      </c>
      <c r="F20" s="88">
        <f t="shared" si="0"/>
        <v>58909</v>
      </c>
      <c r="G20" s="55">
        <v>5.79</v>
      </c>
      <c r="H20" s="36">
        <v>0.7</v>
      </c>
      <c r="I20" s="88">
        <f t="shared" si="1"/>
        <v>63440</v>
      </c>
      <c r="J20" s="46" t="s">
        <v>438</v>
      </c>
      <c r="K20" s="46" t="s">
        <v>418</v>
      </c>
      <c r="L20" s="58" t="s">
        <v>439</v>
      </c>
      <c r="M20" s="46"/>
    </row>
    <row r="21" ht="22.5" spans="1:13">
      <c r="A21" s="67" t="s">
        <v>440</v>
      </c>
      <c r="B21" s="55" t="s">
        <v>441</v>
      </c>
      <c r="C21" s="55" t="s">
        <v>145</v>
      </c>
      <c r="D21" s="57"/>
      <c r="E21" s="43"/>
      <c r="F21" s="88">
        <f t="shared" si="0"/>
        <v>0</v>
      </c>
      <c r="G21" s="57"/>
      <c r="H21" s="36"/>
      <c r="I21" s="88">
        <f t="shared" si="1"/>
        <v>0</v>
      </c>
      <c r="J21" s="46"/>
      <c r="K21" s="58"/>
      <c r="L21" s="58"/>
      <c r="M21" s="46"/>
    </row>
    <row r="22" ht="115.5" customHeight="1" spans="1:13">
      <c r="A22" s="67" t="s">
        <v>98</v>
      </c>
      <c r="B22" s="55" t="s">
        <v>436</v>
      </c>
      <c r="C22" s="55" t="s">
        <v>437</v>
      </c>
      <c r="D22" s="57">
        <v>11492</v>
      </c>
      <c r="E22" s="43">
        <v>0.68</v>
      </c>
      <c r="F22" s="88">
        <f t="shared" si="0"/>
        <v>7815</v>
      </c>
      <c r="G22" s="55">
        <v>5.93</v>
      </c>
      <c r="H22" s="36">
        <v>0.74</v>
      </c>
      <c r="I22" s="88">
        <f t="shared" si="1"/>
        <v>8504</v>
      </c>
      <c r="J22" s="46" t="s">
        <v>438</v>
      </c>
      <c r="K22" s="46" t="s">
        <v>418</v>
      </c>
      <c r="L22" s="58" t="s">
        <v>442</v>
      </c>
      <c r="M22" s="46"/>
    </row>
    <row r="23" ht="78" customHeight="1" spans="1:13">
      <c r="A23" s="67" t="s">
        <v>50</v>
      </c>
      <c r="B23" s="55" t="s">
        <v>443</v>
      </c>
      <c r="C23" s="55" t="s">
        <v>437</v>
      </c>
      <c r="D23" s="57">
        <v>1788</v>
      </c>
      <c r="E23" s="43">
        <v>0.68</v>
      </c>
      <c r="F23" s="88">
        <f t="shared" si="0"/>
        <v>1216</v>
      </c>
      <c r="G23" s="55">
        <v>6.33</v>
      </c>
      <c r="H23" s="36">
        <v>0.25</v>
      </c>
      <c r="I23" s="88">
        <f t="shared" si="1"/>
        <v>447</v>
      </c>
      <c r="J23" s="46" t="s">
        <v>444</v>
      </c>
      <c r="K23" s="46" t="s">
        <v>418</v>
      </c>
      <c r="L23" s="58" t="s">
        <v>445</v>
      </c>
      <c r="M23" s="46"/>
    </row>
    <row r="24" ht="22.5" spans="1:13">
      <c r="A24" s="67" t="s">
        <v>446</v>
      </c>
      <c r="B24" s="55" t="s">
        <v>447</v>
      </c>
      <c r="C24" s="55" t="s">
        <v>145</v>
      </c>
      <c r="D24" s="57"/>
      <c r="E24" s="43"/>
      <c r="F24" s="88">
        <f t="shared" si="0"/>
        <v>0</v>
      </c>
      <c r="G24" s="57"/>
      <c r="H24" s="36"/>
      <c r="I24" s="88">
        <f t="shared" si="1"/>
        <v>0</v>
      </c>
      <c r="J24" s="46"/>
      <c r="K24" s="58"/>
      <c r="L24" s="58"/>
      <c r="M24" s="46"/>
    </row>
    <row r="25" ht="133.5" customHeight="1" spans="1:13">
      <c r="A25" s="67" t="s">
        <v>98</v>
      </c>
      <c r="B25" s="55" t="s">
        <v>436</v>
      </c>
      <c r="C25" s="55" t="s">
        <v>437</v>
      </c>
      <c r="D25" s="57">
        <f>(23.7+170.8)*4*2+1156</f>
        <v>2712</v>
      </c>
      <c r="E25" s="43">
        <v>0.68</v>
      </c>
      <c r="F25" s="88">
        <f t="shared" si="0"/>
        <v>1844</v>
      </c>
      <c r="G25" s="55">
        <v>6.1</v>
      </c>
      <c r="H25" s="36">
        <v>0.74</v>
      </c>
      <c r="I25" s="88">
        <f t="shared" si="1"/>
        <v>2007</v>
      </c>
      <c r="J25" s="46" t="s">
        <v>438</v>
      </c>
      <c r="K25" s="46" t="s">
        <v>418</v>
      </c>
      <c r="L25" s="58" t="s">
        <v>442</v>
      </c>
      <c r="M25" s="46"/>
    </row>
    <row r="26" ht="45" spans="1:13">
      <c r="A26" s="67" t="s">
        <v>448</v>
      </c>
      <c r="B26" s="55" t="s">
        <v>449</v>
      </c>
      <c r="C26" s="55" t="s">
        <v>145</v>
      </c>
      <c r="D26" s="57"/>
      <c r="E26" s="43"/>
      <c r="F26" s="88">
        <f t="shared" si="0"/>
        <v>0</v>
      </c>
      <c r="G26" s="57"/>
      <c r="H26" s="36"/>
      <c r="I26" s="88">
        <f t="shared" si="1"/>
        <v>0</v>
      </c>
      <c r="J26" s="46"/>
      <c r="K26" s="58"/>
      <c r="L26" s="58"/>
      <c r="M26" s="46"/>
    </row>
    <row r="27" ht="81.75" customHeight="1" spans="1:13">
      <c r="A27" s="67" t="s">
        <v>450</v>
      </c>
      <c r="B27" s="55" t="s">
        <v>451</v>
      </c>
      <c r="C27" s="55" t="s">
        <v>39</v>
      </c>
      <c r="D27" s="55">
        <v>1188</v>
      </c>
      <c r="E27" s="43">
        <v>12</v>
      </c>
      <c r="F27" s="88">
        <f t="shared" si="0"/>
        <v>14256</v>
      </c>
      <c r="G27" s="55">
        <v>19.96</v>
      </c>
      <c r="H27" s="36">
        <v>12</v>
      </c>
      <c r="I27" s="88">
        <f t="shared" si="1"/>
        <v>14256</v>
      </c>
      <c r="J27" s="46" t="s">
        <v>25</v>
      </c>
      <c r="K27" s="46" t="s">
        <v>418</v>
      </c>
      <c r="L27" s="58" t="s">
        <v>452</v>
      </c>
      <c r="M27" s="46"/>
    </row>
    <row r="28" ht="85.5" customHeight="1" spans="1:13">
      <c r="A28" s="67" t="s">
        <v>453</v>
      </c>
      <c r="B28" s="55" t="s">
        <v>454</v>
      </c>
      <c r="C28" s="55" t="s">
        <v>39</v>
      </c>
      <c r="D28" s="55">
        <v>546</v>
      </c>
      <c r="E28" s="43">
        <v>36</v>
      </c>
      <c r="F28" s="88">
        <f t="shared" si="0"/>
        <v>19656</v>
      </c>
      <c r="G28" s="55">
        <v>52.89</v>
      </c>
      <c r="H28" s="36">
        <v>35</v>
      </c>
      <c r="I28" s="88">
        <f t="shared" si="1"/>
        <v>19110</v>
      </c>
      <c r="J28" s="46" t="s">
        <v>25</v>
      </c>
      <c r="K28" s="46" t="s">
        <v>418</v>
      </c>
      <c r="L28" s="58" t="s">
        <v>455</v>
      </c>
      <c r="M28" s="46"/>
    </row>
    <row r="29" ht="22.5" spans="1:13">
      <c r="A29" s="67" t="s">
        <v>456</v>
      </c>
      <c r="B29" s="55" t="s">
        <v>457</v>
      </c>
      <c r="C29" s="55" t="s">
        <v>145</v>
      </c>
      <c r="D29" s="57"/>
      <c r="E29" s="43"/>
      <c r="F29" s="88">
        <f t="shared" si="0"/>
        <v>0</v>
      </c>
      <c r="G29" s="57"/>
      <c r="H29" s="36"/>
      <c r="I29" s="88">
        <f t="shared" si="1"/>
        <v>0</v>
      </c>
      <c r="J29" s="46"/>
      <c r="K29" s="58"/>
      <c r="L29" s="58"/>
      <c r="M29" s="46"/>
    </row>
    <row r="30" ht="22.5" spans="1:13">
      <c r="A30" s="67" t="s">
        <v>458</v>
      </c>
      <c r="B30" s="55" t="s">
        <v>457</v>
      </c>
      <c r="C30" s="55" t="s">
        <v>145</v>
      </c>
      <c r="D30" s="57"/>
      <c r="E30" s="43"/>
      <c r="F30" s="88">
        <f t="shared" si="0"/>
        <v>0</v>
      </c>
      <c r="G30" s="57"/>
      <c r="H30" s="36"/>
      <c r="I30" s="88">
        <f t="shared" si="1"/>
        <v>0</v>
      </c>
      <c r="J30" s="46"/>
      <c r="K30" s="58"/>
      <c r="L30" s="58"/>
      <c r="M30" s="46"/>
    </row>
    <row r="31" ht="45" spans="1:13">
      <c r="A31" s="67" t="s">
        <v>94</v>
      </c>
      <c r="B31" s="55" t="s">
        <v>459</v>
      </c>
      <c r="C31" s="55" t="s">
        <v>145</v>
      </c>
      <c r="D31" s="57"/>
      <c r="E31" s="43"/>
      <c r="F31" s="88">
        <f t="shared" si="0"/>
        <v>0</v>
      </c>
      <c r="G31" s="57"/>
      <c r="H31" s="36"/>
      <c r="I31" s="88">
        <f t="shared" si="1"/>
        <v>0</v>
      </c>
      <c r="J31" s="46"/>
      <c r="K31" s="58"/>
      <c r="L31" s="58"/>
      <c r="M31" s="46"/>
    </row>
    <row r="32" ht="235.5" customHeight="1" spans="1:13">
      <c r="A32" s="67" t="s">
        <v>37</v>
      </c>
      <c r="B32" s="55" t="s">
        <v>460</v>
      </c>
      <c r="C32" s="55" t="s">
        <v>85</v>
      </c>
      <c r="D32" s="55">
        <v>208</v>
      </c>
      <c r="E32" s="43">
        <v>955</v>
      </c>
      <c r="F32" s="88">
        <f t="shared" si="0"/>
        <v>198640</v>
      </c>
      <c r="G32" s="55">
        <v>2449.13</v>
      </c>
      <c r="H32" s="36">
        <v>750</v>
      </c>
      <c r="I32" s="88">
        <f t="shared" si="1"/>
        <v>156000</v>
      </c>
      <c r="J32" s="46" t="s">
        <v>461</v>
      </c>
      <c r="K32" s="46" t="s">
        <v>418</v>
      </c>
      <c r="L32" s="58" t="s">
        <v>462</v>
      </c>
      <c r="M32" s="49" t="s">
        <v>463</v>
      </c>
    </row>
    <row r="33" ht="45" spans="1:13">
      <c r="A33" s="67" t="s">
        <v>464</v>
      </c>
      <c r="B33" s="55" t="s">
        <v>465</v>
      </c>
      <c r="C33" s="55" t="s">
        <v>145</v>
      </c>
      <c r="D33" s="57"/>
      <c r="E33" s="43"/>
      <c r="F33" s="88">
        <f t="shared" si="0"/>
        <v>0</v>
      </c>
      <c r="G33" s="57"/>
      <c r="H33" s="36"/>
      <c r="I33" s="88">
        <f t="shared" si="1"/>
        <v>0</v>
      </c>
      <c r="J33" s="46"/>
      <c r="K33" s="58"/>
      <c r="L33" s="58"/>
      <c r="M33" s="46"/>
    </row>
    <row r="34" ht="112.5" spans="1:13">
      <c r="A34" s="67" t="s">
        <v>466</v>
      </c>
      <c r="B34" s="55" t="s">
        <v>467</v>
      </c>
      <c r="C34" s="55" t="s">
        <v>145</v>
      </c>
      <c r="D34" s="57"/>
      <c r="E34" s="43"/>
      <c r="F34" s="88">
        <f t="shared" si="0"/>
        <v>0</v>
      </c>
      <c r="G34" s="57"/>
      <c r="H34" s="36"/>
      <c r="I34" s="88">
        <f t="shared" si="1"/>
        <v>0</v>
      </c>
      <c r="J34" s="46"/>
      <c r="K34" s="58"/>
      <c r="L34" s="58"/>
      <c r="M34" s="46"/>
    </row>
    <row r="35" ht="124.5" customHeight="1" spans="1:13">
      <c r="A35" s="67" t="s">
        <v>94</v>
      </c>
      <c r="B35" s="55" t="s">
        <v>468</v>
      </c>
      <c r="C35" s="55" t="s">
        <v>39</v>
      </c>
      <c r="D35" s="55">
        <v>545.6</v>
      </c>
      <c r="E35" s="43">
        <v>100</v>
      </c>
      <c r="F35" s="88">
        <f t="shared" si="0"/>
        <v>54560</v>
      </c>
      <c r="G35" s="57">
        <v>760.23</v>
      </c>
      <c r="H35" s="36">
        <v>140</v>
      </c>
      <c r="I35" s="88">
        <f t="shared" si="1"/>
        <v>76384</v>
      </c>
      <c r="J35" s="46" t="s">
        <v>424</v>
      </c>
      <c r="K35" s="46" t="s">
        <v>418</v>
      </c>
      <c r="L35" s="64" t="s">
        <v>469</v>
      </c>
      <c r="M35" s="46" t="s">
        <v>470</v>
      </c>
    </row>
    <row r="36" ht="118.5" customHeight="1" spans="1:13">
      <c r="A36" s="67" t="s">
        <v>98</v>
      </c>
      <c r="B36" s="55" t="s">
        <v>471</v>
      </c>
      <c r="C36" s="55" t="s">
        <v>39</v>
      </c>
      <c r="D36" s="55">
        <v>394.5</v>
      </c>
      <c r="E36" s="43">
        <v>100</v>
      </c>
      <c r="F36" s="88">
        <f t="shared" si="0"/>
        <v>39450</v>
      </c>
      <c r="G36" s="55">
        <v>699.91</v>
      </c>
      <c r="H36" s="36">
        <v>140</v>
      </c>
      <c r="I36" s="88">
        <f t="shared" si="1"/>
        <v>55230</v>
      </c>
      <c r="J36" s="46" t="s">
        <v>424</v>
      </c>
      <c r="K36" s="46" t="s">
        <v>418</v>
      </c>
      <c r="L36" s="64" t="s">
        <v>472</v>
      </c>
      <c r="M36" s="46" t="s">
        <v>470</v>
      </c>
    </row>
    <row r="37" ht="45" spans="1:13">
      <c r="A37" s="67" t="s">
        <v>473</v>
      </c>
      <c r="B37" s="55" t="s">
        <v>474</v>
      </c>
      <c r="C37" s="55" t="s">
        <v>145</v>
      </c>
      <c r="D37" s="57"/>
      <c r="E37" s="43"/>
      <c r="F37" s="88">
        <f t="shared" si="0"/>
        <v>0</v>
      </c>
      <c r="G37" s="57"/>
      <c r="H37" s="36"/>
      <c r="I37" s="88">
        <f t="shared" si="1"/>
        <v>0</v>
      </c>
      <c r="J37" s="46"/>
      <c r="K37" s="58"/>
      <c r="L37" s="58"/>
      <c r="M37" s="46"/>
    </row>
    <row r="38" ht="22.5" spans="1:13">
      <c r="A38" s="67" t="s">
        <v>94</v>
      </c>
      <c r="B38" s="55" t="s">
        <v>475</v>
      </c>
      <c r="C38" s="55" t="s">
        <v>145</v>
      </c>
      <c r="D38" s="57"/>
      <c r="E38" s="43"/>
      <c r="F38" s="88">
        <f t="shared" ref="F38:F52" si="2">ROUND(E38*D38,0)</f>
        <v>0</v>
      </c>
      <c r="G38" s="57"/>
      <c r="H38" s="36"/>
      <c r="I38" s="88">
        <f t="shared" ref="I38:I52" si="3">ROUND(D38*H38,0)</f>
        <v>0</v>
      </c>
      <c r="J38" s="46"/>
      <c r="K38" s="58"/>
      <c r="L38" s="58"/>
      <c r="M38" s="46"/>
    </row>
    <row r="39" ht="99.75" customHeight="1" spans="1:13">
      <c r="A39" s="67" t="s">
        <v>37</v>
      </c>
      <c r="B39" s="55" t="s">
        <v>476</v>
      </c>
      <c r="C39" s="55" t="s">
        <v>39</v>
      </c>
      <c r="D39" s="120">
        <v>923.47</v>
      </c>
      <c r="E39" s="43">
        <v>100</v>
      </c>
      <c r="F39" s="88">
        <f t="shared" si="2"/>
        <v>92347</v>
      </c>
      <c r="G39" s="55">
        <v>847.2</v>
      </c>
      <c r="H39" s="36">
        <v>140</v>
      </c>
      <c r="I39" s="88">
        <f t="shared" si="3"/>
        <v>129286</v>
      </c>
      <c r="J39" s="46" t="s">
        <v>424</v>
      </c>
      <c r="K39" s="46" t="s">
        <v>418</v>
      </c>
      <c r="L39" s="64" t="s">
        <v>477</v>
      </c>
      <c r="M39" s="46" t="s">
        <v>470</v>
      </c>
    </row>
    <row r="40" ht="95.25" customHeight="1" spans="1:13">
      <c r="A40" s="67" t="s">
        <v>43</v>
      </c>
      <c r="B40" s="55" t="s">
        <v>478</v>
      </c>
      <c r="C40" s="55" t="s">
        <v>39</v>
      </c>
      <c r="D40" s="55">
        <v>18</v>
      </c>
      <c r="E40" s="43">
        <v>100</v>
      </c>
      <c r="F40" s="88">
        <f t="shared" si="2"/>
        <v>1800</v>
      </c>
      <c r="G40" s="55">
        <v>857.31</v>
      </c>
      <c r="H40" s="36">
        <v>200</v>
      </c>
      <c r="I40" s="88">
        <f t="shared" si="3"/>
        <v>3600</v>
      </c>
      <c r="J40" s="46" t="s">
        <v>424</v>
      </c>
      <c r="K40" s="46" t="s">
        <v>418</v>
      </c>
      <c r="L40" s="64" t="s">
        <v>472</v>
      </c>
      <c r="M40" s="46" t="s">
        <v>470</v>
      </c>
    </row>
    <row r="41" ht="22.5" spans="1:13">
      <c r="A41" s="67" t="s">
        <v>56</v>
      </c>
      <c r="B41" s="55" t="s">
        <v>479</v>
      </c>
      <c r="C41" s="55" t="s">
        <v>145</v>
      </c>
      <c r="D41" s="57"/>
      <c r="E41" s="43"/>
      <c r="F41" s="88">
        <f t="shared" si="2"/>
        <v>0</v>
      </c>
      <c r="G41" s="57"/>
      <c r="H41" s="36"/>
      <c r="I41" s="88">
        <f t="shared" si="3"/>
        <v>0</v>
      </c>
      <c r="J41" s="46"/>
      <c r="K41" s="58"/>
      <c r="L41" s="58"/>
      <c r="M41" s="46"/>
    </row>
    <row r="42" ht="97.5" customHeight="1" spans="1:13">
      <c r="A42" s="67" t="s">
        <v>58</v>
      </c>
      <c r="B42" s="55" t="s">
        <v>480</v>
      </c>
      <c r="C42" s="55" t="s">
        <v>39</v>
      </c>
      <c r="D42" s="55">
        <v>192</v>
      </c>
      <c r="E42" s="43">
        <v>240</v>
      </c>
      <c r="F42" s="88">
        <f t="shared" si="2"/>
        <v>46080</v>
      </c>
      <c r="G42" s="55">
        <v>926.92</v>
      </c>
      <c r="H42" s="36">
        <v>200</v>
      </c>
      <c r="I42" s="88">
        <f t="shared" si="3"/>
        <v>38400</v>
      </c>
      <c r="J42" s="46" t="s">
        <v>424</v>
      </c>
      <c r="K42" s="46" t="s">
        <v>418</v>
      </c>
      <c r="L42" s="64" t="s">
        <v>481</v>
      </c>
      <c r="M42" s="46" t="s">
        <v>470</v>
      </c>
    </row>
    <row r="43" ht="45" spans="1:13">
      <c r="A43" s="67" t="s">
        <v>482</v>
      </c>
      <c r="B43" s="55" t="s">
        <v>483</v>
      </c>
      <c r="C43" s="55" t="s">
        <v>145</v>
      </c>
      <c r="D43" s="57"/>
      <c r="E43" s="43"/>
      <c r="F43" s="88">
        <f t="shared" si="2"/>
        <v>0</v>
      </c>
      <c r="G43" s="57"/>
      <c r="H43" s="36"/>
      <c r="I43" s="88">
        <f t="shared" si="3"/>
        <v>0</v>
      </c>
      <c r="J43" s="46"/>
      <c r="K43" s="58"/>
      <c r="L43" s="58"/>
      <c r="M43" s="46"/>
    </row>
    <row r="44" ht="22.5" spans="1:13">
      <c r="A44" s="67" t="s">
        <v>94</v>
      </c>
      <c r="B44" s="55" t="s">
        <v>484</v>
      </c>
      <c r="C44" s="55" t="s">
        <v>145</v>
      </c>
      <c r="D44" s="57"/>
      <c r="E44" s="43"/>
      <c r="F44" s="88">
        <f t="shared" si="2"/>
        <v>0</v>
      </c>
      <c r="G44" s="57"/>
      <c r="H44" s="36"/>
      <c r="I44" s="88">
        <f t="shared" si="3"/>
        <v>0</v>
      </c>
      <c r="J44" s="46"/>
      <c r="K44" s="58"/>
      <c r="L44" s="58"/>
      <c r="M44" s="46"/>
    </row>
    <row r="45" ht="102" customHeight="1" spans="1:13">
      <c r="A45" s="67" t="s">
        <v>37</v>
      </c>
      <c r="B45" s="55" t="s">
        <v>485</v>
      </c>
      <c r="C45" s="55" t="s">
        <v>39</v>
      </c>
      <c r="D45" s="55">
        <v>2.1</v>
      </c>
      <c r="E45" s="43">
        <v>350</v>
      </c>
      <c r="F45" s="88">
        <f t="shared" si="2"/>
        <v>735</v>
      </c>
      <c r="G45" s="55">
        <v>1278.48</v>
      </c>
      <c r="H45" s="36">
        <v>400</v>
      </c>
      <c r="I45" s="88">
        <f t="shared" si="3"/>
        <v>840</v>
      </c>
      <c r="J45" s="46" t="s">
        <v>424</v>
      </c>
      <c r="K45" s="46" t="s">
        <v>418</v>
      </c>
      <c r="L45" s="64" t="s">
        <v>486</v>
      </c>
      <c r="M45" s="46" t="s">
        <v>470</v>
      </c>
    </row>
    <row r="46" ht="22.5" spans="1:13">
      <c r="A46" s="67" t="s">
        <v>56</v>
      </c>
      <c r="B46" s="55" t="s">
        <v>487</v>
      </c>
      <c r="C46" s="55" t="s">
        <v>145</v>
      </c>
      <c r="D46" s="57"/>
      <c r="E46" s="43"/>
      <c r="F46" s="88">
        <f t="shared" si="2"/>
        <v>0</v>
      </c>
      <c r="G46" s="57"/>
      <c r="H46" s="36"/>
      <c r="I46" s="88">
        <f t="shared" si="3"/>
        <v>0</v>
      </c>
      <c r="J46" s="46"/>
      <c r="K46" s="58"/>
      <c r="L46" s="58"/>
      <c r="M46" s="46"/>
    </row>
    <row r="47" ht="105.75" customHeight="1" spans="1:13">
      <c r="A47" s="67" t="s">
        <v>58</v>
      </c>
      <c r="B47" s="55" t="s">
        <v>488</v>
      </c>
      <c r="C47" s="55" t="s">
        <v>39</v>
      </c>
      <c r="D47" s="55">
        <v>28</v>
      </c>
      <c r="E47" s="43">
        <v>100</v>
      </c>
      <c r="F47" s="88">
        <f t="shared" si="2"/>
        <v>2800</v>
      </c>
      <c r="G47" s="55">
        <v>726.42</v>
      </c>
      <c r="H47" s="36">
        <v>140</v>
      </c>
      <c r="I47" s="88">
        <f t="shared" si="3"/>
        <v>3920</v>
      </c>
      <c r="J47" s="46" t="s">
        <v>424</v>
      </c>
      <c r="K47" s="46" t="s">
        <v>418</v>
      </c>
      <c r="L47" s="64" t="s">
        <v>489</v>
      </c>
      <c r="M47" s="46" t="s">
        <v>470</v>
      </c>
    </row>
    <row r="48" ht="22.5" spans="1:13">
      <c r="A48" s="67" t="s">
        <v>62</v>
      </c>
      <c r="B48" s="55" t="s">
        <v>490</v>
      </c>
      <c r="C48" s="55" t="s">
        <v>145</v>
      </c>
      <c r="D48" s="57"/>
      <c r="E48" s="43"/>
      <c r="F48" s="88">
        <f t="shared" si="2"/>
        <v>0</v>
      </c>
      <c r="G48" s="57"/>
      <c r="H48" s="36"/>
      <c r="I48" s="88">
        <f t="shared" si="3"/>
        <v>0</v>
      </c>
      <c r="J48" s="46"/>
      <c r="K48" s="58"/>
      <c r="L48" s="58"/>
      <c r="M48" s="46"/>
    </row>
    <row r="49" ht="126.75" customHeight="1" spans="1:13">
      <c r="A49" s="67" t="s">
        <v>64</v>
      </c>
      <c r="B49" s="55" t="s">
        <v>491</v>
      </c>
      <c r="C49" s="55" t="s">
        <v>39</v>
      </c>
      <c r="D49" s="55">
        <v>3</v>
      </c>
      <c r="E49" s="43">
        <v>350</v>
      </c>
      <c r="F49" s="88">
        <f t="shared" si="2"/>
        <v>1050</v>
      </c>
      <c r="G49" s="55">
        <v>1278.48</v>
      </c>
      <c r="H49" s="36">
        <v>400</v>
      </c>
      <c r="I49" s="88">
        <f t="shared" si="3"/>
        <v>1200</v>
      </c>
      <c r="J49" s="46" t="s">
        <v>424</v>
      </c>
      <c r="K49" s="46" t="s">
        <v>418</v>
      </c>
      <c r="L49" s="64" t="s">
        <v>492</v>
      </c>
      <c r="M49" s="46" t="s">
        <v>470</v>
      </c>
    </row>
    <row r="50" ht="45" spans="1:13">
      <c r="A50" s="67" t="s">
        <v>493</v>
      </c>
      <c r="B50" s="55" t="s">
        <v>494</v>
      </c>
      <c r="C50" s="55" t="s">
        <v>145</v>
      </c>
      <c r="D50" s="57"/>
      <c r="E50" s="43"/>
      <c r="F50" s="88">
        <f t="shared" si="2"/>
        <v>0</v>
      </c>
      <c r="G50" s="57"/>
      <c r="H50" s="36"/>
      <c r="I50" s="88">
        <f t="shared" si="3"/>
        <v>0</v>
      </c>
      <c r="J50" s="46"/>
      <c r="K50" s="58"/>
      <c r="L50" s="58"/>
      <c r="M50" s="46"/>
    </row>
    <row r="51" ht="22.5" spans="1:13">
      <c r="A51" s="67" t="s">
        <v>94</v>
      </c>
      <c r="B51" s="55" t="s">
        <v>487</v>
      </c>
      <c r="C51" s="55" t="s">
        <v>145</v>
      </c>
      <c r="D51" s="57"/>
      <c r="E51" s="43"/>
      <c r="F51" s="88">
        <f t="shared" si="2"/>
        <v>0</v>
      </c>
      <c r="G51" s="57"/>
      <c r="H51" s="36"/>
      <c r="I51" s="88">
        <f t="shared" si="3"/>
        <v>0</v>
      </c>
      <c r="J51" s="46"/>
      <c r="K51" s="58"/>
      <c r="L51" s="58"/>
      <c r="M51" s="46"/>
    </row>
    <row r="52" ht="83.25" customHeight="1" spans="1:13">
      <c r="A52" s="67" t="s">
        <v>37</v>
      </c>
      <c r="B52" s="55" t="s">
        <v>495</v>
      </c>
      <c r="C52" s="55" t="s">
        <v>39</v>
      </c>
      <c r="D52" s="55">
        <v>170</v>
      </c>
      <c r="E52" s="43">
        <v>200</v>
      </c>
      <c r="F52" s="88">
        <f t="shared" si="2"/>
        <v>34000</v>
      </c>
      <c r="G52" s="55">
        <v>947.11</v>
      </c>
      <c r="H52" s="48">
        <v>180</v>
      </c>
      <c r="I52" s="88">
        <f t="shared" si="3"/>
        <v>30600</v>
      </c>
      <c r="J52" s="46" t="s">
        <v>496</v>
      </c>
      <c r="K52" s="46" t="s">
        <v>418</v>
      </c>
      <c r="L52" s="59" t="s">
        <v>497</v>
      </c>
      <c r="M52" s="46"/>
    </row>
    <row r="53" ht="110.25" customHeight="1" spans="1:13">
      <c r="A53" s="50" t="s">
        <v>202</v>
      </c>
      <c r="B53" s="51" t="s">
        <v>498</v>
      </c>
      <c r="C53" s="51"/>
      <c r="D53" s="57"/>
      <c r="E53" s="43"/>
      <c r="F53" s="35">
        <f t="shared" ref="F53:F68" si="4">IFERROR(ROUND(D53*E53,0),"")</f>
        <v>0</v>
      </c>
      <c r="G53" s="53" t="s">
        <v>145</v>
      </c>
      <c r="H53" s="45"/>
      <c r="I53" s="37">
        <f t="shared" ref="I53:I68" si="5">ROUND(D53*H53,0)</f>
        <v>0</v>
      </c>
      <c r="J53" s="43"/>
      <c r="K53" s="46"/>
      <c r="L53" s="46"/>
      <c r="M53" s="46"/>
    </row>
    <row r="54" ht="22.5" spans="1:13">
      <c r="A54" s="55" t="s">
        <v>433</v>
      </c>
      <c r="B54" s="56" t="s">
        <v>223</v>
      </c>
      <c r="C54" s="55" t="s">
        <v>145</v>
      </c>
      <c r="D54" s="57"/>
      <c r="E54" s="43"/>
      <c r="F54" s="35">
        <f t="shared" si="4"/>
        <v>0</v>
      </c>
      <c r="G54" s="57"/>
      <c r="H54" s="45"/>
      <c r="I54" s="37">
        <f t="shared" si="5"/>
        <v>0</v>
      </c>
      <c r="J54" s="43"/>
      <c r="K54" s="58"/>
      <c r="L54" s="58"/>
      <c r="M54" s="46"/>
    </row>
    <row r="55" ht="90" spans="1:13">
      <c r="A55" s="55" t="s">
        <v>434</v>
      </c>
      <c r="B55" s="56" t="s">
        <v>435</v>
      </c>
      <c r="C55" s="55" t="s">
        <v>145</v>
      </c>
      <c r="D55" s="57"/>
      <c r="E55" s="43"/>
      <c r="F55" s="35">
        <f t="shared" si="4"/>
        <v>0</v>
      </c>
      <c r="G55" s="57"/>
      <c r="H55" s="45"/>
      <c r="I55" s="37">
        <f t="shared" si="5"/>
        <v>0</v>
      </c>
      <c r="J55" s="43"/>
      <c r="K55" s="58"/>
      <c r="L55" s="58"/>
      <c r="M55" s="46"/>
    </row>
    <row r="56" ht="136.5" customHeight="1" spans="1:13">
      <c r="A56" s="55" t="s">
        <v>98</v>
      </c>
      <c r="B56" s="56" t="s">
        <v>436</v>
      </c>
      <c r="C56" s="55" t="s">
        <v>437</v>
      </c>
      <c r="D56" s="57">
        <f>56284.8+42213.6+59579+44740</f>
        <v>202817.4</v>
      </c>
      <c r="E56" s="43">
        <v>0.68</v>
      </c>
      <c r="F56" s="35">
        <f t="shared" si="4"/>
        <v>137916</v>
      </c>
      <c r="G56" s="57">
        <v>5.79</v>
      </c>
      <c r="H56" s="36">
        <v>0.7</v>
      </c>
      <c r="I56" s="47">
        <f t="shared" si="5"/>
        <v>141972</v>
      </c>
      <c r="J56" s="46" t="s">
        <v>438</v>
      </c>
      <c r="K56" s="46" t="s">
        <v>418</v>
      </c>
      <c r="L56" s="58" t="s">
        <v>499</v>
      </c>
      <c r="M56" s="46"/>
    </row>
    <row r="57" ht="22.5" spans="1:13">
      <c r="A57" s="55" t="s">
        <v>440</v>
      </c>
      <c r="B57" s="56" t="s">
        <v>441</v>
      </c>
      <c r="C57" s="55" t="s">
        <v>145</v>
      </c>
      <c r="D57" s="57"/>
      <c r="E57" s="43"/>
      <c r="F57" s="35">
        <f t="shared" si="4"/>
        <v>0</v>
      </c>
      <c r="G57" s="57"/>
      <c r="H57" s="45"/>
      <c r="I57" s="37">
        <f t="shared" si="5"/>
        <v>0</v>
      </c>
      <c r="J57" s="43"/>
      <c r="K57" s="58"/>
      <c r="L57" s="58"/>
      <c r="M57" s="46"/>
    </row>
    <row r="58" ht="128.25" customHeight="1" spans="1:13">
      <c r="A58" s="55" t="s">
        <v>98</v>
      </c>
      <c r="B58" s="56" t="s">
        <v>436</v>
      </c>
      <c r="C58" s="55" t="s">
        <v>437</v>
      </c>
      <c r="D58" s="57">
        <v>11610</v>
      </c>
      <c r="E58" s="43">
        <v>0.68</v>
      </c>
      <c r="F58" s="35">
        <f t="shared" si="4"/>
        <v>7895</v>
      </c>
      <c r="G58" s="57">
        <v>6.02</v>
      </c>
      <c r="H58" s="36">
        <v>0.74</v>
      </c>
      <c r="I58" s="47">
        <f t="shared" si="5"/>
        <v>8591</v>
      </c>
      <c r="J58" s="46" t="s">
        <v>438</v>
      </c>
      <c r="K58" s="46" t="s">
        <v>418</v>
      </c>
      <c r="L58" s="58" t="s">
        <v>500</v>
      </c>
      <c r="M58" s="46"/>
    </row>
    <row r="59" ht="47.25" customHeight="1" spans="1:13">
      <c r="A59" s="55" t="s">
        <v>50</v>
      </c>
      <c r="B59" s="56" t="s">
        <v>443</v>
      </c>
      <c r="C59" s="55" t="s">
        <v>437</v>
      </c>
      <c r="D59" s="57">
        <v>1772</v>
      </c>
      <c r="E59" s="43">
        <v>0.65</v>
      </c>
      <c r="F59" s="35">
        <f t="shared" si="4"/>
        <v>1152</v>
      </c>
      <c r="G59" s="57">
        <v>6.33</v>
      </c>
      <c r="H59" s="36">
        <v>0.25</v>
      </c>
      <c r="I59" s="47">
        <f t="shared" si="5"/>
        <v>443</v>
      </c>
      <c r="J59" s="46" t="s">
        <v>444</v>
      </c>
      <c r="K59" s="46" t="s">
        <v>418</v>
      </c>
      <c r="L59" s="58" t="s">
        <v>445</v>
      </c>
      <c r="M59" s="46"/>
    </row>
    <row r="60" ht="22.5" spans="1:13">
      <c r="A60" s="55" t="s">
        <v>446</v>
      </c>
      <c r="B60" s="56" t="s">
        <v>447</v>
      </c>
      <c r="C60" s="55" t="s">
        <v>145</v>
      </c>
      <c r="D60" s="57"/>
      <c r="E60" s="43"/>
      <c r="F60" s="35">
        <f t="shared" si="4"/>
        <v>0</v>
      </c>
      <c r="G60" s="57"/>
      <c r="H60" s="45"/>
      <c r="I60" s="37">
        <f t="shared" si="5"/>
        <v>0</v>
      </c>
      <c r="J60" s="43"/>
      <c r="K60" s="58"/>
      <c r="L60" s="58"/>
      <c r="M60" s="46"/>
    </row>
    <row r="61" ht="114.75" customHeight="1" spans="1:13">
      <c r="A61" s="55" t="s">
        <v>98</v>
      </c>
      <c r="B61" s="56" t="s">
        <v>436</v>
      </c>
      <c r="C61" s="55" t="s">
        <v>437</v>
      </c>
      <c r="D61" s="57">
        <v>39293</v>
      </c>
      <c r="E61" s="43">
        <v>0.68</v>
      </c>
      <c r="F61" s="35">
        <f t="shared" si="4"/>
        <v>26719</v>
      </c>
      <c r="G61" s="57">
        <v>6.11</v>
      </c>
      <c r="H61" s="36">
        <v>0.74</v>
      </c>
      <c r="I61" s="47">
        <f t="shared" si="5"/>
        <v>29077</v>
      </c>
      <c r="J61" s="46" t="s">
        <v>438</v>
      </c>
      <c r="K61" s="46" t="s">
        <v>418</v>
      </c>
      <c r="L61" s="58" t="s">
        <v>501</v>
      </c>
      <c r="M61" s="46"/>
    </row>
    <row r="62" ht="45" spans="1:13">
      <c r="A62" s="55" t="s">
        <v>448</v>
      </c>
      <c r="B62" s="56" t="s">
        <v>449</v>
      </c>
      <c r="C62" s="55" t="s">
        <v>145</v>
      </c>
      <c r="D62" s="57"/>
      <c r="E62" s="43"/>
      <c r="F62" s="35">
        <f t="shared" si="4"/>
        <v>0</v>
      </c>
      <c r="G62" s="57"/>
      <c r="H62" s="45"/>
      <c r="I62" s="37">
        <f t="shared" si="5"/>
        <v>0</v>
      </c>
      <c r="J62" s="43"/>
      <c r="K62" s="58"/>
      <c r="L62" s="58"/>
      <c r="M62" s="46"/>
    </row>
    <row r="63" ht="87.75" customHeight="1" spans="1:13">
      <c r="A63" s="55" t="s">
        <v>450</v>
      </c>
      <c r="B63" s="56" t="s">
        <v>451</v>
      </c>
      <c r="C63" s="55" t="s">
        <v>39</v>
      </c>
      <c r="D63" s="57">
        <f>1488+40</f>
        <v>1528</v>
      </c>
      <c r="E63" s="43">
        <v>12</v>
      </c>
      <c r="F63" s="35">
        <f t="shared" si="4"/>
        <v>18336</v>
      </c>
      <c r="G63" s="57">
        <v>19.96</v>
      </c>
      <c r="H63" s="36">
        <v>12</v>
      </c>
      <c r="I63" s="47">
        <f t="shared" si="5"/>
        <v>18336</v>
      </c>
      <c r="J63" s="46" t="s">
        <v>25</v>
      </c>
      <c r="K63" s="46" t="s">
        <v>418</v>
      </c>
      <c r="L63" s="58" t="s">
        <v>452</v>
      </c>
      <c r="M63" s="46"/>
    </row>
    <row r="64" ht="85.5" customHeight="1" spans="1:13">
      <c r="A64" s="55" t="s">
        <v>453</v>
      </c>
      <c r="B64" s="56" t="s">
        <v>454</v>
      </c>
      <c r="C64" s="55" t="s">
        <v>39</v>
      </c>
      <c r="D64" s="57">
        <v>298</v>
      </c>
      <c r="E64" s="43">
        <v>38.1</v>
      </c>
      <c r="F64" s="35">
        <f t="shared" si="4"/>
        <v>11354</v>
      </c>
      <c r="G64" s="57">
        <v>52.88</v>
      </c>
      <c r="H64" s="36">
        <v>35</v>
      </c>
      <c r="I64" s="47">
        <f t="shared" si="5"/>
        <v>10430</v>
      </c>
      <c r="J64" s="46" t="s">
        <v>25</v>
      </c>
      <c r="K64" s="46" t="s">
        <v>418</v>
      </c>
      <c r="L64" s="58" t="s">
        <v>455</v>
      </c>
      <c r="M64" s="46"/>
    </row>
    <row r="65" ht="22.5" spans="1:13">
      <c r="A65" s="55" t="s">
        <v>456</v>
      </c>
      <c r="B65" s="56" t="s">
        <v>457</v>
      </c>
      <c r="C65" s="55" t="s">
        <v>145</v>
      </c>
      <c r="D65" s="57"/>
      <c r="E65" s="43"/>
      <c r="F65" s="35">
        <f t="shared" si="4"/>
        <v>0</v>
      </c>
      <c r="G65" s="57"/>
      <c r="H65" s="45"/>
      <c r="I65" s="37">
        <f t="shared" si="5"/>
        <v>0</v>
      </c>
      <c r="J65" s="43"/>
      <c r="K65" s="58"/>
      <c r="L65" s="58"/>
      <c r="M65" s="46"/>
    </row>
    <row r="66" ht="22.5" spans="1:13">
      <c r="A66" s="55" t="s">
        <v>458</v>
      </c>
      <c r="B66" s="56" t="s">
        <v>457</v>
      </c>
      <c r="C66" s="55" t="s">
        <v>145</v>
      </c>
      <c r="D66" s="57"/>
      <c r="E66" s="43"/>
      <c r="F66" s="35">
        <f t="shared" si="4"/>
        <v>0</v>
      </c>
      <c r="G66" s="57"/>
      <c r="H66" s="45"/>
      <c r="I66" s="37">
        <f t="shared" si="5"/>
        <v>0</v>
      </c>
      <c r="J66" s="43"/>
      <c r="K66" s="58"/>
      <c r="L66" s="58"/>
      <c r="M66" s="46"/>
    </row>
    <row r="67" ht="45" spans="1:13">
      <c r="A67" s="55" t="s">
        <v>94</v>
      </c>
      <c r="B67" s="56" t="s">
        <v>459</v>
      </c>
      <c r="C67" s="55" t="s">
        <v>145</v>
      </c>
      <c r="D67" s="57"/>
      <c r="E67" s="43"/>
      <c r="F67" s="35">
        <f t="shared" si="4"/>
        <v>0</v>
      </c>
      <c r="G67" s="57"/>
      <c r="H67" s="45"/>
      <c r="I67" s="37">
        <f t="shared" si="5"/>
        <v>0</v>
      </c>
      <c r="J67" s="43"/>
      <c r="K67" s="58"/>
      <c r="L67" s="58"/>
      <c r="M67" s="46"/>
    </row>
    <row r="68" ht="142.5" customHeight="1" spans="1:13">
      <c r="A68" s="55" t="s">
        <v>37</v>
      </c>
      <c r="B68" s="62" t="s">
        <v>460</v>
      </c>
      <c r="C68" s="55" t="s">
        <v>85</v>
      </c>
      <c r="D68" s="57">
        <v>532</v>
      </c>
      <c r="E68" s="43">
        <v>955</v>
      </c>
      <c r="F68" s="35">
        <f t="shared" si="4"/>
        <v>508060</v>
      </c>
      <c r="G68" s="57">
        <v>2435.72</v>
      </c>
      <c r="H68" s="36">
        <v>750</v>
      </c>
      <c r="I68" s="37">
        <f t="shared" si="5"/>
        <v>399000</v>
      </c>
      <c r="J68" s="46" t="s">
        <v>461</v>
      </c>
      <c r="K68" s="46" t="s">
        <v>418</v>
      </c>
      <c r="L68" s="58" t="s">
        <v>502</v>
      </c>
      <c r="M68" s="49" t="s">
        <v>503</v>
      </c>
    </row>
    <row r="69" ht="45" spans="1:13">
      <c r="A69" s="55" t="s">
        <v>464</v>
      </c>
      <c r="B69" s="56" t="s">
        <v>465</v>
      </c>
      <c r="C69" s="55" t="s">
        <v>145</v>
      </c>
      <c r="D69" s="57"/>
      <c r="E69" s="43"/>
      <c r="F69" s="35">
        <f t="shared" ref="F69:F91" si="6">IFERROR(ROUND(D69*E69,0),"")</f>
        <v>0</v>
      </c>
      <c r="G69" s="57"/>
      <c r="H69" s="45"/>
      <c r="I69" s="37">
        <f t="shared" ref="I69:I91" si="7">ROUND(D69*H69,0)</f>
        <v>0</v>
      </c>
      <c r="J69" s="43"/>
      <c r="K69" s="58"/>
      <c r="L69" s="58"/>
      <c r="M69" s="46"/>
    </row>
    <row r="70" ht="112.5" spans="1:13">
      <c r="A70" s="55" t="s">
        <v>466</v>
      </c>
      <c r="B70" s="56" t="s">
        <v>467</v>
      </c>
      <c r="C70" s="55" t="s">
        <v>145</v>
      </c>
      <c r="D70" s="57"/>
      <c r="E70" s="43"/>
      <c r="F70" s="35">
        <f t="shared" si="6"/>
        <v>0</v>
      </c>
      <c r="G70" s="57"/>
      <c r="H70" s="45"/>
      <c r="I70" s="37">
        <f t="shared" si="7"/>
        <v>0</v>
      </c>
      <c r="J70" s="43"/>
      <c r="K70" s="58"/>
      <c r="L70" s="58"/>
      <c r="M70" s="46"/>
    </row>
    <row r="71" ht="99.75" customHeight="1" spans="1:13">
      <c r="A71" s="55" t="s">
        <v>94</v>
      </c>
      <c r="B71" s="56" t="s">
        <v>468</v>
      </c>
      <c r="C71" s="55" t="s">
        <v>39</v>
      </c>
      <c r="D71" s="57">
        <v>1144.6</v>
      </c>
      <c r="E71" s="43">
        <v>100</v>
      </c>
      <c r="F71" s="35">
        <f t="shared" si="6"/>
        <v>114460</v>
      </c>
      <c r="G71" s="57">
        <v>742.02</v>
      </c>
      <c r="H71" s="36">
        <v>140</v>
      </c>
      <c r="I71" s="47">
        <f t="shared" si="7"/>
        <v>160244</v>
      </c>
      <c r="J71" s="46" t="s">
        <v>424</v>
      </c>
      <c r="K71" s="46" t="s">
        <v>418</v>
      </c>
      <c r="L71" s="64" t="s">
        <v>472</v>
      </c>
      <c r="M71" s="49" t="s">
        <v>504</v>
      </c>
    </row>
    <row r="72" ht="45" spans="1:13">
      <c r="A72" s="55" t="s">
        <v>473</v>
      </c>
      <c r="B72" s="56" t="s">
        <v>474</v>
      </c>
      <c r="C72" s="55" t="s">
        <v>145</v>
      </c>
      <c r="D72" s="57"/>
      <c r="E72" s="43"/>
      <c r="F72" s="35">
        <f t="shared" si="6"/>
        <v>0</v>
      </c>
      <c r="G72" s="57"/>
      <c r="H72" s="45"/>
      <c r="I72" s="37">
        <f t="shared" si="7"/>
        <v>0</v>
      </c>
      <c r="J72" s="43"/>
      <c r="K72" s="58"/>
      <c r="L72" s="58"/>
      <c r="M72" s="46"/>
    </row>
    <row r="73" ht="22.5" spans="1:13">
      <c r="A73" s="55" t="s">
        <v>94</v>
      </c>
      <c r="B73" s="56" t="s">
        <v>475</v>
      </c>
      <c r="C73" s="55" t="s">
        <v>145</v>
      </c>
      <c r="D73" s="57"/>
      <c r="E73" s="43"/>
      <c r="F73" s="35">
        <f t="shared" si="6"/>
        <v>0</v>
      </c>
      <c r="G73" s="57"/>
      <c r="H73" s="45"/>
      <c r="I73" s="37">
        <f t="shared" si="7"/>
        <v>0</v>
      </c>
      <c r="J73" s="43"/>
      <c r="K73" s="58"/>
      <c r="L73" s="58"/>
      <c r="M73" s="46"/>
    </row>
    <row r="74" ht="128.25" customHeight="1" spans="1:13">
      <c r="A74" s="55" t="s">
        <v>37</v>
      </c>
      <c r="B74" s="62" t="s">
        <v>505</v>
      </c>
      <c r="C74" s="55" t="s">
        <v>39</v>
      </c>
      <c r="D74" s="57">
        <v>856.6</v>
      </c>
      <c r="E74" s="43">
        <v>200</v>
      </c>
      <c r="F74" s="35">
        <f t="shared" si="6"/>
        <v>171320</v>
      </c>
      <c r="G74" s="57">
        <v>677.63</v>
      </c>
      <c r="H74" s="36">
        <v>140</v>
      </c>
      <c r="I74" s="47">
        <f t="shared" si="7"/>
        <v>119924</v>
      </c>
      <c r="J74" s="46" t="s">
        <v>424</v>
      </c>
      <c r="K74" s="46" t="s">
        <v>418</v>
      </c>
      <c r="L74" s="64" t="s">
        <v>477</v>
      </c>
      <c r="M74" s="49" t="s">
        <v>504</v>
      </c>
    </row>
    <row r="75" ht="134.25" customHeight="1" spans="1:13">
      <c r="A75" s="55" t="s">
        <v>37</v>
      </c>
      <c r="B75" s="56" t="s">
        <v>478</v>
      </c>
      <c r="C75" s="55" t="s">
        <v>39</v>
      </c>
      <c r="D75" s="57">
        <v>19.1</v>
      </c>
      <c r="E75" s="43">
        <v>200</v>
      </c>
      <c r="F75" s="35">
        <f t="shared" si="6"/>
        <v>3820</v>
      </c>
      <c r="G75" s="57">
        <v>865.25</v>
      </c>
      <c r="H75" s="36">
        <v>200</v>
      </c>
      <c r="I75" s="47">
        <f t="shared" si="7"/>
        <v>3820</v>
      </c>
      <c r="J75" s="46" t="s">
        <v>424</v>
      </c>
      <c r="K75" s="46" t="s">
        <v>418</v>
      </c>
      <c r="L75" s="64" t="s">
        <v>472</v>
      </c>
      <c r="M75" s="49" t="s">
        <v>504</v>
      </c>
    </row>
    <row r="76" ht="22.5" spans="1:13">
      <c r="A76" s="55" t="s">
        <v>56</v>
      </c>
      <c r="B76" s="56" t="s">
        <v>479</v>
      </c>
      <c r="C76" s="55" t="s">
        <v>145</v>
      </c>
      <c r="D76" s="57"/>
      <c r="E76" s="43"/>
      <c r="F76" s="35">
        <f t="shared" si="6"/>
        <v>0</v>
      </c>
      <c r="G76" s="57"/>
      <c r="H76" s="45"/>
      <c r="I76" s="37">
        <f t="shared" si="7"/>
        <v>0</v>
      </c>
      <c r="J76" s="43"/>
      <c r="K76" s="58"/>
      <c r="L76" s="58"/>
      <c r="M76" s="46"/>
    </row>
    <row r="77" ht="102" customHeight="1" spans="1:13">
      <c r="A77" s="55" t="s">
        <v>58</v>
      </c>
      <c r="B77" s="56" t="s">
        <v>506</v>
      </c>
      <c r="C77" s="55" t="s">
        <v>39</v>
      </c>
      <c r="D77" s="57">
        <v>192</v>
      </c>
      <c r="E77" s="43">
        <v>260</v>
      </c>
      <c r="F77" s="35">
        <f t="shared" si="6"/>
        <v>49920</v>
      </c>
      <c r="G77" s="57">
        <v>934.87</v>
      </c>
      <c r="H77" s="36">
        <v>200</v>
      </c>
      <c r="I77" s="47">
        <f t="shared" si="7"/>
        <v>38400</v>
      </c>
      <c r="J77" s="46" t="s">
        <v>424</v>
      </c>
      <c r="K77" s="46" t="s">
        <v>418</v>
      </c>
      <c r="L77" s="64" t="s">
        <v>481</v>
      </c>
      <c r="M77" s="49" t="s">
        <v>504</v>
      </c>
    </row>
    <row r="78" ht="45" spans="1:13">
      <c r="A78" s="55" t="s">
        <v>482</v>
      </c>
      <c r="B78" s="56" t="s">
        <v>483</v>
      </c>
      <c r="C78" s="55" t="s">
        <v>145</v>
      </c>
      <c r="D78" s="57"/>
      <c r="E78" s="43"/>
      <c r="F78" s="35">
        <f t="shared" si="6"/>
        <v>0</v>
      </c>
      <c r="G78" s="57"/>
      <c r="H78" s="45"/>
      <c r="I78" s="37">
        <f t="shared" si="7"/>
        <v>0</v>
      </c>
      <c r="J78" s="46"/>
      <c r="K78" s="58"/>
      <c r="L78" s="58"/>
      <c r="M78" s="46"/>
    </row>
    <row r="79" ht="22.5" spans="1:13">
      <c r="A79" s="55" t="s">
        <v>94</v>
      </c>
      <c r="B79" s="56" t="s">
        <v>484</v>
      </c>
      <c r="C79" s="55" t="s">
        <v>145</v>
      </c>
      <c r="D79" s="57"/>
      <c r="E79" s="43"/>
      <c r="F79" s="35">
        <f t="shared" si="6"/>
        <v>0</v>
      </c>
      <c r="G79" s="57"/>
      <c r="H79" s="45"/>
      <c r="I79" s="37">
        <f t="shared" si="7"/>
        <v>0</v>
      </c>
      <c r="J79" s="46"/>
      <c r="K79" s="58"/>
      <c r="L79" s="58"/>
      <c r="M79" s="46"/>
    </row>
    <row r="80" ht="102.75" customHeight="1" spans="1:13">
      <c r="A80" s="55" t="s">
        <v>37</v>
      </c>
      <c r="B80" s="56" t="s">
        <v>485</v>
      </c>
      <c r="C80" s="55" t="s">
        <v>39</v>
      </c>
      <c r="D80" s="57">
        <v>2</v>
      </c>
      <c r="E80" s="43">
        <v>350</v>
      </c>
      <c r="F80" s="35">
        <f t="shared" si="6"/>
        <v>700</v>
      </c>
      <c r="G80" s="57">
        <v>1286.42</v>
      </c>
      <c r="H80" s="36">
        <v>400</v>
      </c>
      <c r="I80" s="37">
        <f t="shared" si="7"/>
        <v>800</v>
      </c>
      <c r="J80" s="46" t="s">
        <v>424</v>
      </c>
      <c r="K80" s="46" t="s">
        <v>418</v>
      </c>
      <c r="L80" s="64" t="s">
        <v>492</v>
      </c>
      <c r="M80" s="49" t="s">
        <v>504</v>
      </c>
    </row>
    <row r="81" ht="22.5" spans="1:13">
      <c r="A81" s="55" t="s">
        <v>56</v>
      </c>
      <c r="B81" s="56" t="s">
        <v>487</v>
      </c>
      <c r="C81" s="55" t="s">
        <v>145</v>
      </c>
      <c r="D81" s="57"/>
      <c r="E81" s="43"/>
      <c r="F81" s="35">
        <f t="shared" si="6"/>
        <v>0</v>
      </c>
      <c r="G81" s="57"/>
      <c r="H81" s="45"/>
      <c r="I81" s="37">
        <f t="shared" si="7"/>
        <v>0</v>
      </c>
      <c r="J81" s="46"/>
      <c r="K81" s="58"/>
      <c r="L81" s="58"/>
      <c r="M81" s="46"/>
    </row>
    <row r="82" ht="107.25" customHeight="1" spans="1:13">
      <c r="A82" s="55" t="s">
        <v>58</v>
      </c>
      <c r="B82" s="56" t="s">
        <v>488</v>
      </c>
      <c r="C82" s="55" t="s">
        <v>39</v>
      </c>
      <c r="D82" s="57">
        <v>240</v>
      </c>
      <c r="E82" s="43">
        <v>100</v>
      </c>
      <c r="F82" s="35">
        <f t="shared" si="6"/>
        <v>24000</v>
      </c>
      <c r="G82" s="57">
        <v>725.73</v>
      </c>
      <c r="H82" s="36">
        <v>140</v>
      </c>
      <c r="I82" s="37">
        <f t="shared" si="7"/>
        <v>33600</v>
      </c>
      <c r="J82" s="46" t="s">
        <v>424</v>
      </c>
      <c r="K82" s="46" t="s">
        <v>418</v>
      </c>
      <c r="L82" s="64" t="s">
        <v>507</v>
      </c>
      <c r="M82" s="49" t="s">
        <v>504</v>
      </c>
    </row>
    <row r="83" ht="22.5" spans="1:13">
      <c r="A83" s="55" t="s">
        <v>62</v>
      </c>
      <c r="B83" s="56" t="s">
        <v>490</v>
      </c>
      <c r="C83" s="55" t="s">
        <v>145</v>
      </c>
      <c r="D83" s="57"/>
      <c r="E83" s="43"/>
      <c r="F83" s="35">
        <f t="shared" si="6"/>
        <v>0</v>
      </c>
      <c r="G83" s="57"/>
      <c r="H83" s="45"/>
      <c r="I83" s="37">
        <f t="shared" si="7"/>
        <v>0</v>
      </c>
      <c r="J83" s="43"/>
      <c r="K83" s="58"/>
      <c r="L83" s="58"/>
      <c r="M83" s="46"/>
    </row>
    <row r="84" ht="93.75" customHeight="1" spans="1:13">
      <c r="A84" s="55" t="s">
        <v>64</v>
      </c>
      <c r="B84" s="56" t="s">
        <v>491</v>
      </c>
      <c r="C84" s="55" t="s">
        <v>39</v>
      </c>
      <c r="D84" s="57">
        <v>3</v>
      </c>
      <c r="E84" s="43">
        <v>350</v>
      </c>
      <c r="F84" s="35">
        <f t="shared" si="6"/>
        <v>1050</v>
      </c>
      <c r="G84" s="57">
        <v>1286.43</v>
      </c>
      <c r="H84" s="36">
        <v>400</v>
      </c>
      <c r="I84" s="37">
        <f t="shared" si="7"/>
        <v>1200</v>
      </c>
      <c r="J84" s="46" t="s">
        <v>424</v>
      </c>
      <c r="K84" s="46" t="s">
        <v>418</v>
      </c>
      <c r="L84" s="64" t="s">
        <v>492</v>
      </c>
      <c r="M84" s="49" t="s">
        <v>504</v>
      </c>
    </row>
    <row r="85" ht="45" spans="1:13">
      <c r="A85" s="55" t="s">
        <v>493</v>
      </c>
      <c r="B85" s="56" t="s">
        <v>494</v>
      </c>
      <c r="C85" s="55" t="s">
        <v>145</v>
      </c>
      <c r="D85" s="57"/>
      <c r="E85" s="43"/>
      <c r="F85" s="35">
        <f t="shared" si="6"/>
        <v>0</v>
      </c>
      <c r="G85" s="57"/>
      <c r="H85" s="45"/>
      <c r="I85" s="37">
        <f t="shared" si="7"/>
        <v>0</v>
      </c>
      <c r="J85" s="43"/>
      <c r="K85" s="58"/>
      <c r="L85" s="58"/>
      <c r="M85" s="46"/>
    </row>
    <row r="86" ht="22.5" spans="1:13">
      <c r="A86" s="55" t="s">
        <v>94</v>
      </c>
      <c r="B86" s="56" t="s">
        <v>487</v>
      </c>
      <c r="C86" s="55" t="s">
        <v>145</v>
      </c>
      <c r="D86" s="57"/>
      <c r="E86" s="43"/>
      <c r="F86" s="35">
        <f t="shared" si="6"/>
        <v>0</v>
      </c>
      <c r="G86" s="57"/>
      <c r="H86" s="45"/>
      <c r="I86" s="37">
        <f t="shared" si="7"/>
        <v>0</v>
      </c>
      <c r="J86" s="43"/>
      <c r="K86" s="58"/>
      <c r="L86" s="58"/>
      <c r="M86" s="46"/>
    </row>
    <row r="87" ht="123" customHeight="1" spans="1:13">
      <c r="A87" s="55" t="s">
        <v>37</v>
      </c>
      <c r="B87" s="56" t="s">
        <v>508</v>
      </c>
      <c r="C87" s="55" t="s">
        <v>39</v>
      </c>
      <c r="D87" s="57">
        <v>20</v>
      </c>
      <c r="E87" s="43">
        <v>245</v>
      </c>
      <c r="F87" s="35">
        <f t="shared" si="6"/>
        <v>4900</v>
      </c>
      <c r="G87" s="57">
        <v>947.11</v>
      </c>
      <c r="H87" s="36">
        <v>140</v>
      </c>
      <c r="I87" s="37">
        <f t="shared" si="7"/>
        <v>2800</v>
      </c>
      <c r="J87" s="46" t="s">
        <v>424</v>
      </c>
      <c r="K87" s="46" t="s">
        <v>418</v>
      </c>
      <c r="L87" s="64" t="s">
        <v>477</v>
      </c>
      <c r="M87" s="49" t="s">
        <v>504</v>
      </c>
    </row>
    <row r="88" ht="22.5" spans="1:13">
      <c r="A88" s="55" t="s">
        <v>509</v>
      </c>
      <c r="B88" s="56" t="s">
        <v>510</v>
      </c>
      <c r="C88" s="55" t="s">
        <v>145</v>
      </c>
      <c r="D88" s="57"/>
      <c r="E88" s="43"/>
      <c r="F88" s="35">
        <f t="shared" si="6"/>
        <v>0</v>
      </c>
      <c r="G88" s="57"/>
      <c r="H88" s="45"/>
      <c r="I88" s="37">
        <f t="shared" si="7"/>
        <v>0</v>
      </c>
      <c r="J88" s="43"/>
      <c r="K88" s="58"/>
      <c r="L88" s="58"/>
      <c r="M88" s="46"/>
    </row>
    <row r="89" ht="22.5" spans="1:13">
      <c r="A89" s="55" t="s">
        <v>511</v>
      </c>
      <c r="B89" s="56" t="s">
        <v>512</v>
      </c>
      <c r="C89" s="55" t="s">
        <v>145</v>
      </c>
      <c r="D89" s="57"/>
      <c r="E89" s="43"/>
      <c r="F89" s="35">
        <f t="shared" si="6"/>
        <v>0</v>
      </c>
      <c r="G89" s="57"/>
      <c r="H89" s="45"/>
      <c r="I89" s="37">
        <f t="shared" si="7"/>
        <v>0</v>
      </c>
      <c r="J89" s="43"/>
      <c r="K89" s="58"/>
      <c r="L89" s="58"/>
      <c r="M89" s="46"/>
    </row>
    <row r="90" ht="22.5" spans="1:13">
      <c r="A90" s="55" t="s">
        <v>94</v>
      </c>
      <c r="B90" s="56" t="s">
        <v>487</v>
      </c>
      <c r="C90" s="55" t="s">
        <v>145</v>
      </c>
      <c r="D90" s="57"/>
      <c r="E90" s="43"/>
      <c r="F90" s="35">
        <f t="shared" si="6"/>
        <v>0</v>
      </c>
      <c r="G90" s="57"/>
      <c r="H90" s="45"/>
      <c r="I90" s="37">
        <f t="shared" si="7"/>
        <v>0</v>
      </c>
      <c r="J90" s="43"/>
      <c r="K90" s="58"/>
      <c r="L90" s="58"/>
      <c r="M90" s="46"/>
    </row>
    <row r="91" ht="124.5" customHeight="1" spans="1:13">
      <c r="A91" s="55" t="s">
        <v>37</v>
      </c>
      <c r="B91" s="56" t="s">
        <v>513</v>
      </c>
      <c r="C91" s="55" t="s">
        <v>39</v>
      </c>
      <c r="D91" s="57">
        <v>85</v>
      </c>
      <c r="E91" s="43">
        <v>305</v>
      </c>
      <c r="F91" s="35">
        <f t="shared" si="6"/>
        <v>25925</v>
      </c>
      <c r="G91" s="57">
        <v>1257.23</v>
      </c>
      <c r="H91" s="45">
        <v>350</v>
      </c>
      <c r="I91" s="37">
        <f t="shared" si="7"/>
        <v>29750</v>
      </c>
      <c r="J91" s="46" t="s">
        <v>25</v>
      </c>
      <c r="K91" s="46" t="s">
        <v>418</v>
      </c>
      <c r="L91" s="46" t="s">
        <v>514</v>
      </c>
      <c r="M91" s="49" t="s">
        <v>515</v>
      </c>
    </row>
    <row r="92" ht="45" spans="1:13">
      <c r="A92" s="55" t="s">
        <v>214</v>
      </c>
      <c r="B92" s="56" t="s">
        <v>516</v>
      </c>
      <c r="C92" s="55" t="s">
        <v>145</v>
      </c>
      <c r="D92" s="57"/>
      <c r="E92" s="43"/>
      <c r="F92" s="35">
        <f t="shared" ref="F92:F121" si="8">IFERROR(ROUND(D92*E92,0),"")</f>
        <v>0</v>
      </c>
      <c r="G92" s="57" t="s">
        <v>145</v>
      </c>
      <c r="H92" s="45"/>
      <c r="I92" s="37">
        <f t="shared" ref="I92:I97" si="9">ROUND(D92*H92,0)</f>
        <v>0</v>
      </c>
      <c r="J92" s="43"/>
      <c r="K92" s="58"/>
      <c r="L92" s="58"/>
      <c r="M92" s="46"/>
    </row>
    <row r="93" ht="22.5" spans="1:13">
      <c r="A93" s="55" t="s">
        <v>433</v>
      </c>
      <c r="B93" s="56" t="s">
        <v>223</v>
      </c>
      <c r="C93" s="55" t="s">
        <v>145</v>
      </c>
      <c r="D93" s="57"/>
      <c r="E93" s="43"/>
      <c r="F93" s="35">
        <f t="shared" si="8"/>
        <v>0</v>
      </c>
      <c r="G93" s="57" t="s">
        <v>145</v>
      </c>
      <c r="H93" s="45"/>
      <c r="I93" s="37">
        <f t="shared" si="9"/>
        <v>0</v>
      </c>
      <c r="J93" s="43"/>
      <c r="K93" s="58"/>
      <c r="L93" s="58"/>
      <c r="M93" s="46"/>
    </row>
    <row r="94" ht="22.5" spans="1:13">
      <c r="A94" s="55" t="s">
        <v>440</v>
      </c>
      <c r="B94" s="56" t="s">
        <v>441</v>
      </c>
      <c r="C94" s="55" t="s">
        <v>145</v>
      </c>
      <c r="D94" s="57"/>
      <c r="E94" s="43"/>
      <c r="F94" s="35">
        <f t="shared" si="8"/>
        <v>0</v>
      </c>
      <c r="G94" s="57" t="s">
        <v>145</v>
      </c>
      <c r="H94" s="45"/>
      <c r="I94" s="37">
        <f t="shared" si="9"/>
        <v>0</v>
      </c>
      <c r="J94" s="43"/>
      <c r="K94" s="58"/>
      <c r="L94" s="58"/>
      <c r="M94" s="46"/>
    </row>
    <row r="95" ht="125.25" customHeight="1" spans="1:13">
      <c r="A95" s="55" t="s">
        <v>94</v>
      </c>
      <c r="B95" s="56" t="s">
        <v>517</v>
      </c>
      <c r="C95" s="55" t="s">
        <v>437</v>
      </c>
      <c r="D95" s="57">
        <v>1859</v>
      </c>
      <c r="E95" s="43">
        <v>0.68</v>
      </c>
      <c r="F95" s="35">
        <f t="shared" si="8"/>
        <v>1264</v>
      </c>
      <c r="G95" s="44">
        <v>5.88</v>
      </c>
      <c r="H95" s="36">
        <v>0.74</v>
      </c>
      <c r="I95" s="47">
        <f t="shared" si="9"/>
        <v>1376</v>
      </c>
      <c r="J95" s="46" t="s">
        <v>518</v>
      </c>
      <c r="K95" s="46" t="s">
        <v>418</v>
      </c>
      <c r="L95" s="58" t="s">
        <v>501</v>
      </c>
      <c r="M95" s="46"/>
    </row>
    <row r="96" ht="126.75" customHeight="1" spans="1:13">
      <c r="A96" s="55" t="s">
        <v>98</v>
      </c>
      <c r="B96" s="56" t="s">
        <v>436</v>
      </c>
      <c r="C96" s="55" t="s">
        <v>437</v>
      </c>
      <c r="D96" s="57">
        <v>1732</v>
      </c>
      <c r="E96" s="43">
        <v>0.68</v>
      </c>
      <c r="F96" s="35">
        <f t="shared" si="8"/>
        <v>1178</v>
      </c>
      <c r="G96" s="44">
        <v>6.03</v>
      </c>
      <c r="H96" s="36">
        <v>0.74</v>
      </c>
      <c r="I96" s="47">
        <f t="shared" si="9"/>
        <v>1282</v>
      </c>
      <c r="J96" s="46" t="s">
        <v>438</v>
      </c>
      <c r="K96" s="46" t="s">
        <v>418</v>
      </c>
      <c r="L96" s="58" t="s">
        <v>500</v>
      </c>
      <c r="M96" s="46"/>
    </row>
    <row r="97" ht="70.5" customHeight="1" spans="1:13">
      <c r="A97" s="55" t="s">
        <v>50</v>
      </c>
      <c r="B97" s="56" t="s">
        <v>519</v>
      </c>
      <c r="C97" s="55" t="s">
        <v>437</v>
      </c>
      <c r="D97" s="57">
        <v>72</v>
      </c>
      <c r="E97" s="43">
        <v>0.65</v>
      </c>
      <c r="F97" s="35">
        <f t="shared" si="8"/>
        <v>47</v>
      </c>
      <c r="G97" s="44">
        <v>6.3</v>
      </c>
      <c r="H97" s="45">
        <v>0.25</v>
      </c>
      <c r="I97" s="37">
        <f t="shared" si="9"/>
        <v>18</v>
      </c>
      <c r="J97" s="46" t="s">
        <v>444</v>
      </c>
      <c r="K97" s="46" t="s">
        <v>418</v>
      </c>
      <c r="L97" s="58" t="s">
        <v>445</v>
      </c>
      <c r="M97" s="46"/>
    </row>
    <row r="98" ht="22.5" spans="1:13">
      <c r="A98" s="55" t="s">
        <v>446</v>
      </c>
      <c r="B98" s="56" t="s">
        <v>447</v>
      </c>
      <c r="C98" s="55" t="s">
        <v>145</v>
      </c>
      <c r="D98" s="57" t="s">
        <v>145</v>
      </c>
      <c r="E98" s="43"/>
      <c r="F98" s="35" t="str">
        <f t="shared" si="8"/>
        <v/>
      </c>
      <c r="G98" s="44" t="s">
        <v>145</v>
      </c>
      <c r="H98" s="45"/>
      <c r="I98" s="37"/>
      <c r="J98" s="43"/>
      <c r="K98" s="58"/>
      <c r="L98" s="46"/>
      <c r="M98" s="46"/>
    </row>
    <row r="99" ht="120" customHeight="1" spans="1:13">
      <c r="A99" s="55" t="s">
        <v>98</v>
      </c>
      <c r="B99" s="56" t="s">
        <v>436</v>
      </c>
      <c r="C99" s="55" t="s">
        <v>437</v>
      </c>
      <c r="D99" s="57">
        <v>608</v>
      </c>
      <c r="E99" s="43">
        <v>0.68</v>
      </c>
      <c r="F99" s="35">
        <f t="shared" si="8"/>
        <v>413</v>
      </c>
      <c r="G99" s="44">
        <v>6.19</v>
      </c>
      <c r="H99" s="36">
        <v>0.74</v>
      </c>
      <c r="I99" s="47">
        <f>ROUND(D99*H99,0)</f>
        <v>450</v>
      </c>
      <c r="J99" s="46" t="s">
        <v>438</v>
      </c>
      <c r="K99" s="46" t="s">
        <v>418</v>
      </c>
      <c r="L99" s="58" t="s">
        <v>520</v>
      </c>
      <c r="M99" s="46"/>
    </row>
    <row r="100" ht="45" spans="1:13">
      <c r="A100" s="55" t="s">
        <v>448</v>
      </c>
      <c r="B100" s="56" t="s">
        <v>449</v>
      </c>
      <c r="C100" s="55" t="s">
        <v>145</v>
      </c>
      <c r="D100" s="57" t="s">
        <v>145</v>
      </c>
      <c r="E100" s="43"/>
      <c r="F100" s="35" t="str">
        <f t="shared" si="8"/>
        <v/>
      </c>
      <c r="G100" s="44" t="s">
        <v>145</v>
      </c>
      <c r="H100" s="45"/>
      <c r="I100" s="37"/>
      <c r="J100" s="43"/>
      <c r="K100" s="58"/>
      <c r="L100" s="46"/>
      <c r="M100" s="46"/>
    </row>
    <row r="101" ht="87" customHeight="1" spans="1:13">
      <c r="A101" s="55" t="s">
        <v>453</v>
      </c>
      <c r="B101" s="56" t="s">
        <v>454</v>
      </c>
      <c r="C101" s="55" t="s">
        <v>39</v>
      </c>
      <c r="D101" s="57">
        <v>1305</v>
      </c>
      <c r="E101" s="43">
        <v>38.1</v>
      </c>
      <c r="F101" s="35">
        <f t="shared" si="8"/>
        <v>49721</v>
      </c>
      <c r="G101" s="44">
        <v>52.88</v>
      </c>
      <c r="H101" s="36">
        <v>35</v>
      </c>
      <c r="I101" s="47">
        <f>ROUND(D101*H101,0)</f>
        <v>45675</v>
      </c>
      <c r="J101" s="46" t="s">
        <v>25</v>
      </c>
      <c r="K101" s="46" t="s">
        <v>418</v>
      </c>
      <c r="L101" s="58" t="s">
        <v>452</v>
      </c>
      <c r="M101" s="46"/>
    </row>
    <row r="102" ht="45" spans="1:13">
      <c r="A102" s="55" t="s">
        <v>464</v>
      </c>
      <c r="B102" s="56" t="s">
        <v>465</v>
      </c>
      <c r="C102" s="55" t="s">
        <v>145</v>
      </c>
      <c r="D102" s="57" t="s">
        <v>145</v>
      </c>
      <c r="E102" s="43"/>
      <c r="F102" s="35" t="str">
        <f t="shared" si="8"/>
        <v/>
      </c>
      <c r="G102" s="44" t="s">
        <v>145</v>
      </c>
      <c r="H102" s="45"/>
      <c r="I102" s="37"/>
      <c r="J102" s="43"/>
      <c r="K102" s="58"/>
      <c r="L102" s="46"/>
      <c r="M102" s="46"/>
    </row>
    <row r="103" ht="112.5" spans="1:13">
      <c r="A103" s="55" t="s">
        <v>466</v>
      </c>
      <c r="B103" s="56" t="s">
        <v>467</v>
      </c>
      <c r="C103" s="55" t="s">
        <v>145</v>
      </c>
      <c r="D103" s="57" t="s">
        <v>145</v>
      </c>
      <c r="E103" s="43"/>
      <c r="F103" s="35" t="str">
        <f t="shared" si="8"/>
        <v/>
      </c>
      <c r="G103" s="44" t="s">
        <v>145</v>
      </c>
      <c r="H103" s="45"/>
      <c r="I103" s="37"/>
      <c r="J103" s="43"/>
      <c r="K103" s="58"/>
      <c r="L103" s="46"/>
      <c r="M103" s="46"/>
    </row>
    <row r="104" ht="128.25" customHeight="1" spans="1:13">
      <c r="A104" s="55" t="s">
        <v>98</v>
      </c>
      <c r="B104" s="56" t="s">
        <v>521</v>
      </c>
      <c r="C104" s="55" t="s">
        <v>39</v>
      </c>
      <c r="D104" s="57">
        <v>356.5</v>
      </c>
      <c r="E104" s="43">
        <v>100</v>
      </c>
      <c r="F104" s="35">
        <f t="shared" si="8"/>
        <v>35650</v>
      </c>
      <c r="G104" s="44">
        <v>681.6</v>
      </c>
      <c r="H104" s="36">
        <v>140</v>
      </c>
      <c r="I104" s="47">
        <f t="shared" ref="I104:I115" si="10">ROUND(D104*H104,0)</f>
        <v>49910</v>
      </c>
      <c r="J104" s="46" t="s">
        <v>424</v>
      </c>
      <c r="K104" s="46" t="s">
        <v>418</v>
      </c>
      <c r="L104" s="64" t="s">
        <v>522</v>
      </c>
      <c r="M104" s="49" t="s">
        <v>504</v>
      </c>
    </row>
    <row r="105" ht="45" spans="1:13">
      <c r="A105" s="55" t="s">
        <v>473</v>
      </c>
      <c r="B105" s="56" t="s">
        <v>474</v>
      </c>
      <c r="C105" s="55" t="s">
        <v>145</v>
      </c>
      <c r="D105" s="57"/>
      <c r="E105" s="43"/>
      <c r="F105" s="35">
        <f t="shared" si="8"/>
        <v>0</v>
      </c>
      <c r="G105" s="44" t="s">
        <v>145</v>
      </c>
      <c r="H105" s="45"/>
      <c r="I105" s="37">
        <f t="shared" si="10"/>
        <v>0</v>
      </c>
      <c r="J105" s="43"/>
      <c r="K105" s="58"/>
      <c r="L105" s="46"/>
      <c r="M105" s="46"/>
    </row>
    <row r="106" ht="22.5" spans="1:13">
      <c r="A106" s="55" t="s">
        <v>94</v>
      </c>
      <c r="B106" s="56" t="s">
        <v>475</v>
      </c>
      <c r="C106" s="55" t="s">
        <v>145</v>
      </c>
      <c r="D106" s="57"/>
      <c r="E106" s="43"/>
      <c r="F106" s="35">
        <f t="shared" si="8"/>
        <v>0</v>
      </c>
      <c r="G106" s="44" t="s">
        <v>145</v>
      </c>
      <c r="H106" s="45"/>
      <c r="I106" s="37">
        <f t="shared" si="10"/>
        <v>0</v>
      </c>
      <c r="J106" s="43"/>
      <c r="K106" s="58"/>
      <c r="L106" s="46"/>
      <c r="M106" s="46"/>
    </row>
    <row r="107" ht="126.75" customHeight="1" spans="1:13">
      <c r="A107" s="55" t="s">
        <v>37</v>
      </c>
      <c r="B107" s="56" t="s">
        <v>476</v>
      </c>
      <c r="C107" s="55" t="s">
        <v>39</v>
      </c>
      <c r="D107" s="57">
        <v>462.9</v>
      </c>
      <c r="E107" s="43">
        <v>200</v>
      </c>
      <c r="F107" s="35">
        <f t="shared" si="8"/>
        <v>92580</v>
      </c>
      <c r="G107" s="44">
        <v>882.17</v>
      </c>
      <c r="H107" s="45">
        <v>140</v>
      </c>
      <c r="I107" s="37">
        <f t="shared" si="10"/>
        <v>64806</v>
      </c>
      <c r="J107" s="46" t="s">
        <v>424</v>
      </c>
      <c r="K107" s="46" t="s">
        <v>418</v>
      </c>
      <c r="L107" s="64" t="s">
        <v>469</v>
      </c>
      <c r="M107" s="49" t="s">
        <v>504</v>
      </c>
    </row>
    <row r="108" ht="22.5" spans="1:13">
      <c r="A108" s="55" t="s">
        <v>56</v>
      </c>
      <c r="B108" s="56" t="s">
        <v>479</v>
      </c>
      <c r="C108" s="55" t="s">
        <v>145</v>
      </c>
      <c r="D108" s="57"/>
      <c r="E108" s="43"/>
      <c r="F108" s="35">
        <f t="shared" si="8"/>
        <v>0</v>
      </c>
      <c r="G108" s="44" t="s">
        <v>145</v>
      </c>
      <c r="H108" s="45"/>
      <c r="I108" s="37">
        <f t="shared" si="10"/>
        <v>0</v>
      </c>
      <c r="J108" s="43"/>
      <c r="K108" s="58"/>
      <c r="L108" s="46"/>
      <c r="M108" s="46"/>
    </row>
    <row r="109" ht="120" customHeight="1" spans="1:13">
      <c r="A109" s="55" t="s">
        <v>58</v>
      </c>
      <c r="B109" s="56" t="s">
        <v>506</v>
      </c>
      <c r="C109" s="55" t="s">
        <v>39</v>
      </c>
      <c r="D109" s="57">
        <v>106.74</v>
      </c>
      <c r="E109" s="43">
        <v>260</v>
      </c>
      <c r="F109" s="35">
        <f t="shared" si="8"/>
        <v>27752</v>
      </c>
      <c r="G109" s="44">
        <v>1103.77</v>
      </c>
      <c r="H109" s="36">
        <v>200</v>
      </c>
      <c r="I109" s="47">
        <f t="shared" si="10"/>
        <v>21348</v>
      </c>
      <c r="J109" s="46" t="s">
        <v>424</v>
      </c>
      <c r="K109" s="46" t="s">
        <v>418</v>
      </c>
      <c r="L109" s="64" t="s">
        <v>477</v>
      </c>
      <c r="M109" s="49" t="s">
        <v>504</v>
      </c>
    </row>
    <row r="110" ht="45" spans="1:13">
      <c r="A110" s="55" t="s">
        <v>482</v>
      </c>
      <c r="B110" s="56" t="s">
        <v>483</v>
      </c>
      <c r="C110" s="55" t="s">
        <v>145</v>
      </c>
      <c r="D110" s="57"/>
      <c r="E110" s="43"/>
      <c r="F110" s="35">
        <f t="shared" si="8"/>
        <v>0</v>
      </c>
      <c r="G110" s="44" t="s">
        <v>145</v>
      </c>
      <c r="H110" s="45"/>
      <c r="I110" s="37">
        <f t="shared" si="10"/>
        <v>0</v>
      </c>
      <c r="J110" s="43"/>
      <c r="K110" s="58"/>
      <c r="L110" s="46"/>
      <c r="M110" s="46"/>
    </row>
    <row r="111" ht="22.5" spans="1:13">
      <c r="A111" s="55" t="s">
        <v>94</v>
      </c>
      <c r="B111" s="56" t="s">
        <v>484</v>
      </c>
      <c r="C111" s="55" t="s">
        <v>145</v>
      </c>
      <c r="D111" s="57"/>
      <c r="E111" s="43"/>
      <c r="F111" s="35">
        <f t="shared" si="8"/>
        <v>0</v>
      </c>
      <c r="G111" s="44" t="s">
        <v>145</v>
      </c>
      <c r="H111" s="45"/>
      <c r="I111" s="37">
        <f t="shared" si="10"/>
        <v>0</v>
      </c>
      <c r="J111" s="43"/>
      <c r="K111" s="58"/>
      <c r="L111" s="46"/>
      <c r="M111" s="46"/>
    </row>
    <row r="112" ht="104.25" customHeight="1" spans="1:13">
      <c r="A112" s="55" t="s">
        <v>37</v>
      </c>
      <c r="B112" s="56" t="s">
        <v>485</v>
      </c>
      <c r="C112" s="55" t="s">
        <v>39</v>
      </c>
      <c r="D112" s="57">
        <v>1.8</v>
      </c>
      <c r="E112" s="43">
        <v>350</v>
      </c>
      <c r="F112" s="35">
        <f t="shared" si="8"/>
        <v>630</v>
      </c>
      <c r="G112" s="44">
        <v>1290.56</v>
      </c>
      <c r="H112" s="36">
        <v>400</v>
      </c>
      <c r="I112" s="37">
        <f t="shared" si="10"/>
        <v>720</v>
      </c>
      <c r="J112" s="46" t="s">
        <v>424</v>
      </c>
      <c r="K112" s="46" t="s">
        <v>418</v>
      </c>
      <c r="L112" s="64" t="s">
        <v>492</v>
      </c>
      <c r="M112" s="49" t="s">
        <v>504</v>
      </c>
    </row>
    <row r="113" ht="22.5" spans="1:14">
      <c r="A113" s="55" t="s">
        <v>310</v>
      </c>
      <c r="B113" s="56" t="s">
        <v>490</v>
      </c>
      <c r="C113" s="55" t="s">
        <v>145</v>
      </c>
      <c r="D113" s="57"/>
      <c r="E113" s="43"/>
      <c r="F113" s="35">
        <f t="shared" si="8"/>
        <v>0</v>
      </c>
      <c r="G113" s="44" t="s">
        <v>145</v>
      </c>
      <c r="H113" s="45"/>
      <c r="I113" s="37">
        <f t="shared" si="10"/>
        <v>0</v>
      </c>
      <c r="J113" s="43"/>
      <c r="K113" s="58"/>
      <c r="L113" s="46"/>
      <c r="M113" s="46"/>
    </row>
    <row r="114" ht="94.5" customHeight="1" spans="1:14">
      <c r="A114" s="55" t="s">
        <v>523</v>
      </c>
      <c r="B114" s="56" t="s">
        <v>491</v>
      </c>
      <c r="C114" s="55" t="s">
        <v>39</v>
      </c>
      <c r="D114" s="57">
        <v>1.23</v>
      </c>
      <c r="E114" s="43">
        <v>350</v>
      </c>
      <c r="F114" s="35">
        <f t="shared" si="8"/>
        <v>431</v>
      </c>
      <c r="G114" s="44">
        <v>1286.43</v>
      </c>
      <c r="H114" s="36">
        <v>400</v>
      </c>
      <c r="I114" s="37">
        <f t="shared" si="10"/>
        <v>492</v>
      </c>
      <c r="J114" s="46" t="s">
        <v>424</v>
      </c>
      <c r="K114" s="46" t="s">
        <v>418</v>
      </c>
      <c r="L114" s="64" t="s">
        <v>492</v>
      </c>
      <c r="M114" s="49" t="s">
        <v>504</v>
      </c>
    </row>
    <row r="115" ht="45" spans="1:14">
      <c r="A115" s="55" t="s">
        <v>216</v>
      </c>
      <c r="B115" s="56" t="s">
        <v>524</v>
      </c>
      <c r="C115" s="55" t="s">
        <v>145</v>
      </c>
      <c r="D115" s="57"/>
      <c r="E115" s="43"/>
      <c r="F115" s="35">
        <f t="shared" si="8"/>
        <v>0</v>
      </c>
      <c r="G115" s="44" t="s">
        <v>145</v>
      </c>
      <c r="H115" s="45"/>
      <c r="I115" s="37">
        <f t="shared" si="10"/>
        <v>0</v>
      </c>
      <c r="J115" s="43"/>
      <c r="K115" s="58"/>
      <c r="L115" s="58"/>
      <c r="M115" s="46"/>
    </row>
    <row r="116" ht="22.5" spans="1:14">
      <c r="A116" s="55">
        <v>403</v>
      </c>
      <c r="B116" s="56" t="s">
        <v>223</v>
      </c>
      <c r="C116" s="55" t="s">
        <v>145</v>
      </c>
      <c r="D116" s="57" t="s">
        <v>145</v>
      </c>
      <c r="E116" s="43"/>
      <c r="F116" s="35" t="str">
        <f t="shared" si="8"/>
        <v/>
      </c>
      <c r="G116" s="44" t="s">
        <v>145</v>
      </c>
      <c r="H116" s="45"/>
      <c r="I116" s="37"/>
      <c r="J116" s="43"/>
      <c r="K116" s="58"/>
      <c r="L116" s="46"/>
      <c r="M116" s="46"/>
    </row>
    <row r="117" ht="90" spans="1:14">
      <c r="A117" s="55" t="s">
        <v>434</v>
      </c>
      <c r="B117" s="56" t="s">
        <v>435</v>
      </c>
      <c r="C117" s="55" t="s">
        <v>145</v>
      </c>
      <c r="D117" s="57" t="s">
        <v>145</v>
      </c>
      <c r="E117" s="43"/>
      <c r="F117" s="35" t="str">
        <f t="shared" si="8"/>
        <v/>
      </c>
      <c r="G117" s="44" t="s">
        <v>145</v>
      </c>
      <c r="H117" s="45"/>
      <c r="I117" s="37"/>
      <c r="J117" s="43"/>
      <c r="K117" s="58"/>
      <c r="L117" s="46"/>
      <c r="M117" s="46"/>
    </row>
    <row r="118" ht="128.25" customHeight="1" spans="1:14">
      <c r="A118" s="55" t="s">
        <v>98</v>
      </c>
      <c r="B118" s="56" t="s">
        <v>436</v>
      </c>
      <c r="C118" s="55" t="s">
        <v>437</v>
      </c>
      <c r="D118" s="57">
        <v>981</v>
      </c>
      <c r="E118" s="52">
        <v>0.65</v>
      </c>
      <c r="F118" s="35">
        <f t="shared" si="8"/>
        <v>638</v>
      </c>
      <c r="G118" s="44">
        <v>5.74</v>
      </c>
      <c r="H118" s="36">
        <v>0.7</v>
      </c>
      <c r="I118" s="47">
        <f>ROUND(D118*H118,0)</f>
        <v>687</v>
      </c>
      <c r="J118" s="46" t="s">
        <v>438</v>
      </c>
      <c r="K118" s="46" t="s">
        <v>418</v>
      </c>
      <c r="L118" s="58" t="s">
        <v>442</v>
      </c>
      <c r="M118" s="46"/>
    </row>
    <row r="119" ht="22.5" spans="1:14">
      <c r="A119" s="55" t="s">
        <v>440</v>
      </c>
      <c r="B119" s="56" t="s">
        <v>441</v>
      </c>
      <c r="C119" s="55" t="s">
        <v>145</v>
      </c>
      <c r="D119" s="57" t="s">
        <v>145</v>
      </c>
      <c r="E119" s="52"/>
      <c r="F119" s="35" t="str">
        <f t="shared" si="8"/>
        <v/>
      </c>
      <c r="G119" s="44" t="s">
        <v>145</v>
      </c>
      <c r="H119" s="45"/>
      <c r="I119" s="37"/>
      <c r="J119" s="43"/>
      <c r="K119" s="58"/>
      <c r="L119" s="46"/>
      <c r="M119" s="46"/>
    </row>
    <row r="120" ht="125.25" customHeight="1" spans="1:14">
      <c r="A120" s="55" t="s">
        <v>94</v>
      </c>
      <c r="B120" s="56" t="s">
        <v>517</v>
      </c>
      <c r="C120" s="55" t="s">
        <v>437</v>
      </c>
      <c r="D120" s="57">
        <v>980</v>
      </c>
      <c r="E120" s="52">
        <v>0.68</v>
      </c>
      <c r="F120" s="35">
        <f t="shared" si="8"/>
        <v>666</v>
      </c>
      <c r="G120" s="44">
        <v>5.93</v>
      </c>
      <c r="H120" s="36">
        <v>0.74</v>
      </c>
      <c r="I120" s="47">
        <f>ROUND(D120*H120,0)</f>
        <v>725</v>
      </c>
      <c r="J120" s="46" t="s">
        <v>518</v>
      </c>
      <c r="K120" s="46" t="s">
        <v>418</v>
      </c>
      <c r="L120" s="58" t="s">
        <v>442</v>
      </c>
      <c r="M120" s="46"/>
    </row>
    <row r="121" ht="128.25" customHeight="1" spans="1:14">
      <c r="A121" s="55" t="s">
        <v>98</v>
      </c>
      <c r="B121" s="56" t="s">
        <v>436</v>
      </c>
      <c r="C121" s="55" t="s">
        <v>437</v>
      </c>
      <c r="D121" s="57">
        <v>4391</v>
      </c>
      <c r="E121" s="52">
        <v>0.68</v>
      </c>
      <c r="F121" s="35">
        <f t="shared" si="8"/>
        <v>2986</v>
      </c>
      <c r="G121" s="44">
        <v>6.04</v>
      </c>
      <c r="H121" s="36">
        <v>0.74</v>
      </c>
      <c r="I121" s="47">
        <f>ROUND(D121*H121,0)</f>
        <v>3249</v>
      </c>
      <c r="J121" s="46" t="s">
        <v>438</v>
      </c>
      <c r="K121" s="46" t="s">
        <v>418</v>
      </c>
      <c r="L121" s="58" t="s">
        <v>525</v>
      </c>
      <c r="M121" s="46"/>
    </row>
    <row r="122" ht="22.5" spans="1:14">
      <c r="A122" s="55" t="s">
        <v>526</v>
      </c>
      <c r="B122" s="56" t="s">
        <v>527</v>
      </c>
      <c r="C122" s="55" t="s">
        <v>145</v>
      </c>
      <c r="D122" s="57" t="s">
        <v>145</v>
      </c>
      <c r="E122" s="52"/>
      <c r="F122" s="35" t="s">
        <v>145</v>
      </c>
      <c r="G122" s="44" t="s">
        <v>145</v>
      </c>
      <c r="H122" s="36"/>
      <c r="I122" s="47"/>
      <c r="J122" s="46"/>
      <c r="K122" s="46"/>
      <c r="L122" s="58"/>
      <c r="M122" s="46"/>
    </row>
    <row r="123" ht="210.75" customHeight="1" spans="1:14">
      <c r="A123" s="55" t="s">
        <v>94</v>
      </c>
      <c r="B123" s="56" t="s">
        <v>517</v>
      </c>
      <c r="C123" s="55" t="s">
        <v>437</v>
      </c>
      <c r="D123" s="57">
        <v>821</v>
      </c>
      <c r="E123" s="52">
        <v>0.65</v>
      </c>
      <c r="F123" s="35">
        <v>534</v>
      </c>
      <c r="G123" s="44">
        <v>6.12</v>
      </c>
      <c r="H123" s="36">
        <v>0.75</v>
      </c>
      <c r="I123" s="47">
        <f>ROUND(D123*H123,0)</f>
        <v>616</v>
      </c>
      <c r="J123" s="46" t="s">
        <v>518</v>
      </c>
      <c r="K123" s="46" t="s">
        <v>528</v>
      </c>
      <c r="L123" s="58" t="s">
        <v>529</v>
      </c>
      <c r="M123" s="46"/>
    </row>
    <row r="124" ht="205.5" customHeight="1" spans="1:14">
      <c r="A124" s="55" t="s">
        <v>98</v>
      </c>
      <c r="B124" s="56" t="s">
        <v>436</v>
      </c>
      <c r="C124" s="55" t="s">
        <v>437</v>
      </c>
      <c r="D124" s="57">
        <v>21713</v>
      </c>
      <c r="E124" s="52">
        <v>0.65</v>
      </c>
      <c r="F124" s="35">
        <v>14113</v>
      </c>
      <c r="G124" s="44">
        <v>6.17</v>
      </c>
      <c r="H124" s="36">
        <v>0.75</v>
      </c>
      <c r="I124" s="47">
        <f>ROUND(D124*H124,0)</f>
        <v>16285</v>
      </c>
      <c r="J124" s="46" t="s">
        <v>438</v>
      </c>
      <c r="K124" s="46" t="s">
        <v>528</v>
      </c>
      <c r="L124" s="58" t="s">
        <v>530</v>
      </c>
      <c r="M124" s="46"/>
      <c r="N124" s="5" t="s">
        <v>531</v>
      </c>
    </row>
    <row r="125" ht="22.5" spans="1:14">
      <c r="A125" s="55" t="s">
        <v>446</v>
      </c>
      <c r="B125" s="56" t="s">
        <v>447</v>
      </c>
      <c r="C125" s="55" t="s">
        <v>145</v>
      </c>
      <c r="D125" s="57" t="s">
        <v>145</v>
      </c>
      <c r="E125" s="52"/>
      <c r="F125" s="35" t="s">
        <v>145</v>
      </c>
      <c r="G125" s="44" t="s">
        <v>145</v>
      </c>
      <c r="H125" s="36"/>
      <c r="I125" s="47"/>
      <c r="J125" s="46"/>
      <c r="K125" s="46"/>
      <c r="L125" s="58"/>
      <c r="M125" s="46"/>
    </row>
    <row r="126" ht="222.75" customHeight="1" spans="1:14">
      <c r="A126" s="55" t="s">
        <v>94</v>
      </c>
      <c r="B126" s="56" t="s">
        <v>517</v>
      </c>
      <c r="C126" s="55" t="s">
        <v>437</v>
      </c>
      <c r="D126" s="57">
        <f>1424+37.4</f>
        <v>1461.4</v>
      </c>
      <c r="E126" s="52">
        <v>0.68</v>
      </c>
      <c r="F126" s="35">
        <v>968</v>
      </c>
      <c r="G126" s="44">
        <v>6.15</v>
      </c>
      <c r="H126" s="36">
        <v>0.74</v>
      </c>
      <c r="I126" s="47">
        <f>ROUND(D126*H126,0)</f>
        <v>1081</v>
      </c>
      <c r="J126" s="46" t="s">
        <v>518</v>
      </c>
      <c r="K126" s="46" t="s">
        <v>528</v>
      </c>
      <c r="L126" s="58" t="s">
        <v>529</v>
      </c>
      <c r="M126" s="46"/>
    </row>
    <row r="127" ht="207.75" customHeight="1" spans="1:14">
      <c r="A127" s="55" t="s">
        <v>98</v>
      </c>
      <c r="B127" s="56" t="s">
        <v>436</v>
      </c>
      <c r="C127" s="55" t="s">
        <v>437</v>
      </c>
      <c r="D127" s="57">
        <v>1568</v>
      </c>
      <c r="E127" s="52">
        <v>0.68</v>
      </c>
      <c r="F127" s="35">
        <v>1066</v>
      </c>
      <c r="G127" s="44">
        <v>6.23</v>
      </c>
      <c r="H127" s="36">
        <v>0.74</v>
      </c>
      <c r="I127" s="47">
        <f>ROUND(D127*H127,0)</f>
        <v>1160</v>
      </c>
      <c r="J127" s="46" t="s">
        <v>438</v>
      </c>
      <c r="K127" s="46" t="s">
        <v>528</v>
      </c>
      <c r="L127" s="58" t="s">
        <v>501</v>
      </c>
      <c r="M127" s="46"/>
      <c r="N127" s="5" t="s">
        <v>531</v>
      </c>
    </row>
    <row r="128" ht="70.5" customHeight="1" spans="1:14">
      <c r="A128" s="55" t="s">
        <v>56</v>
      </c>
      <c r="B128" s="56" t="s">
        <v>532</v>
      </c>
      <c r="C128" s="55" t="s">
        <v>437</v>
      </c>
      <c r="D128" s="57">
        <v>30</v>
      </c>
      <c r="E128" s="52">
        <v>0.65</v>
      </c>
      <c r="F128" s="35">
        <v>20</v>
      </c>
      <c r="G128" s="44">
        <v>7.97</v>
      </c>
      <c r="H128" s="36">
        <v>0.74</v>
      </c>
      <c r="I128" s="47">
        <f>ROUND(D128*H128,0)</f>
        <v>22</v>
      </c>
      <c r="J128" s="46" t="s">
        <v>533</v>
      </c>
      <c r="K128" s="46" t="s">
        <v>418</v>
      </c>
      <c r="L128" s="58" t="s">
        <v>534</v>
      </c>
      <c r="M128" s="46"/>
    </row>
    <row r="129" ht="61.5" customHeight="1" spans="1:13">
      <c r="A129" s="55" t="s">
        <v>62</v>
      </c>
      <c r="B129" s="56" t="s">
        <v>535</v>
      </c>
      <c r="C129" s="55" t="s">
        <v>437</v>
      </c>
      <c r="D129" s="57">
        <v>1513</v>
      </c>
      <c r="E129" s="52">
        <v>8</v>
      </c>
      <c r="F129" s="35">
        <v>12104</v>
      </c>
      <c r="G129" s="44">
        <v>10.43</v>
      </c>
      <c r="H129" s="48">
        <v>1</v>
      </c>
      <c r="I129" s="47">
        <f>ROUND(D129*H129,0)</f>
        <v>1513</v>
      </c>
      <c r="J129" s="49" t="s">
        <v>536</v>
      </c>
      <c r="K129" s="46" t="s">
        <v>418</v>
      </c>
      <c r="L129" s="58" t="s">
        <v>537</v>
      </c>
      <c r="M129" s="46"/>
    </row>
    <row r="130" ht="51" customHeight="1" spans="1:13">
      <c r="A130" s="55" t="s">
        <v>310</v>
      </c>
      <c r="B130" s="56" t="s">
        <v>538</v>
      </c>
      <c r="C130" s="55" t="s">
        <v>437</v>
      </c>
      <c r="D130" s="57">
        <v>276</v>
      </c>
      <c r="E130" s="52">
        <v>10</v>
      </c>
      <c r="F130" s="35">
        <v>2760</v>
      </c>
      <c r="G130" s="44">
        <v>13.09</v>
      </c>
      <c r="H130" s="48">
        <v>1</v>
      </c>
      <c r="I130" s="47">
        <f>ROUND(D130*H130,0)</f>
        <v>276</v>
      </c>
      <c r="J130" s="49" t="s">
        <v>536</v>
      </c>
      <c r="K130" s="46" t="s">
        <v>418</v>
      </c>
      <c r="L130" s="58" t="s">
        <v>537</v>
      </c>
      <c r="M130" s="46"/>
    </row>
    <row r="131" ht="45" spans="1:13">
      <c r="A131" s="55" t="s">
        <v>448</v>
      </c>
      <c r="B131" s="56" t="s">
        <v>449</v>
      </c>
      <c r="C131" s="55" t="s">
        <v>145</v>
      </c>
      <c r="D131" s="57" t="s">
        <v>145</v>
      </c>
      <c r="E131" s="52"/>
      <c r="F131" s="35" t="str">
        <f t="shared" ref="F131:F168" si="11">IFERROR(ROUND(D131*E131,0),"")</f>
        <v/>
      </c>
      <c r="G131" s="44" t="s">
        <v>145</v>
      </c>
      <c r="H131" s="45"/>
      <c r="I131" s="37"/>
      <c r="J131" s="43"/>
      <c r="K131" s="58"/>
      <c r="L131" s="46"/>
      <c r="M131" s="46"/>
    </row>
    <row r="132" ht="78.75" customHeight="1" spans="1:13">
      <c r="A132" s="55" t="s">
        <v>450</v>
      </c>
      <c r="B132" s="56" t="s">
        <v>451</v>
      </c>
      <c r="C132" s="55" t="s">
        <v>39</v>
      </c>
      <c r="D132" s="57">
        <v>21</v>
      </c>
      <c r="E132" s="52">
        <v>12</v>
      </c>
      <c r="F132" s="35">
        <f t="shared" si="11"/>
        <v>252</v>
      </c>
      <c r="G132" s="44">
        <v>19.96</v>
      </c>
      <c r="H132" s="36">
        <v>12</v>
      </c>
      <c r="I132" s="47">
        <f>ROUND(D132*H132,0)</f>
        <v>252</v>
      </c>
      <c r="J132" s="46" t="s">
        <v>25</v>
      </c>
      <c r="K132" s="46" t="s">
        <v>418</v>
      </c>
      <c r="L132" s="58" t="s">
        <v>452</v>
      </c>
      <c r="M132" s="46"/>
    </row>
    <row r="133" ht="91.5" customHeight="1" spans="1:13">
      <c r="A133" s="55" t="s">
        <v>453</v>
      </c>
      <c r="B133" s="56" t="s">
        <v>454</v>
      </c>
      <c r="C133" s="55" t="s">
        <v>39</v>
      </c>
      <c r="D133" s="57">
        <v>75.1</v>
      </c>
      <c r="E133" s="52">
        <v>24</v>
      </c>
      <c r="F133" s="35">
        <f t="shared" si="11"/>
        <v>1802</v>
      </c>
      <c r="G133" s="44">
        <v>52.88</v>
      </c>
      <c r="H133" s="36">
        <v>35</v>
      </c>
      <c r="I133" s="47">
        <f>ROUND(D133*H133,0)</f>
        <v>2629</v>
      </c>
      <c r="J133" s="46" t="s">
        <v>25</v>
      </c>
      <c r="K133" s="46" t="s">
        <v>418</v>
      </c>
      <c r="L133" s="58" t="s">
        <v>455</v>
      </c>
      <c r="M133" s="46"/>
    </row>
    <row r="134" ht="45" spans="1:13">
      <c r="A134" s="55">
        <v>410</v>
      </c>
      <c r="B134" s="56" t="s">
        <v>465</v>
      </c>
      <c r="C134" s="55" t="s">
        <v>145</v>
      </c>
      <c r="D134" s="57" t="s">
        <v>145</v>
      </c>
      <c r="E134" s="52"/>
      <c r="F134" s="35" t="str">
        <f t="shared" si="11"/>
        <v/>
      </c>
      <c r="G134" s="44" t="s">
        <v>145</v>
      </c>
      <c r="H134" s="45"/>
      <c r="I134" s="37"/>
      <c r="J134" s="43"/>
      <c r="K134" s="58"/>
      <c r="L134" s="46"/>
      <c r="M134" s="46"/>
    </row>
    <row r="135" ht="112.5" spans="1:13">
      <c r="A135" s="55" t="s">
        <v>466</v>
      </c>
      <c r="B135" s="56" t="s">
        <v>467</v>
      </c>
      <c r="C135" s="55" t="s">
        <v>145</v>
      </c>
      <c r="D135" s="57" t="s">
        <v>145</v>
      </c>
      <c r="E135" s="52"/>
      <c r="F135" s="35" t="str">
        <f t="shared" si="11"/>
        <v/>
      </c>
      <c r="G135" s="44" t="s">
        <v>145</v>
      </c>
      <c r="H135" s="45"/>
      <c r="I135" s="37"/>
      <c r="J135" s="43"/>
      <c r="K135" s="58"/>
      <c r="L135" s="46"/>
      <c r="M135" s="46"/>
    </row>
    <row r="136" ht="120.75" customHeight="1" spans="1:13">
      <c r="A136" s="55" t="s">
        <v>94</v>
      </c>
      <c r="B136" s="56" t="s">
        <v>468</v>
      </c>
      <c r="C136" s="55" t="s">
        <v>39</v>
      </c>
      <c r="D136" s="57">
        <v>35.59</v>
      </c>
      <c r="E136" s="52">
        <v>100</v>
      </c>
      <c r="F136" s="35">
        <f t="shared" si="11"/>
        <v>3559</v>
      </c>
      <c r="G136" s="44">
        <v>696.97</v>
      </c>
      <c r="H136" s="36">
        <v>140</v>
      </c>
      <c r="I136" s="47">
        <f>ROUND(D136*H136,0)</f>
        <v>4983</v>
      </c>
      <c r="J136" s="46" t="s">
        <v>424</v>
      </c>
      <c r="K136" s="46" t="s">
        <v>418</v>
      </c>
      <c r="L136" s="64" t="s">
        <v>472</v>
      </c>
      <c r="M136" s="49" t="s">
        <v>504</v>
      </c>
    </row>
    <row r="137" ht="118.5" customHeight="1" spans="1:13">
      <c r="A137" s="55" t="s">
        <v>98</v>
      </c>
      <c r="B137" s="56" t="s">
        <v>521</v>
      </c>
      <c r="C137" s="55" t="s">
        <v>39</v>
      </c>
      <c r="D137" s="57">
        <v>33.53</v>
      </c>
      <c r="E137" s="52">
        <v>100</v>
      </c>
      <c r="F137" s="35">
        <f t="shared" si="11"/>
        <v>3353</v>
      </c>
      <c r="G137" s="44">
        <v>679.61</v>
      </c>
      <c r="H137" s="36">
        <v>140</v>
      </c>
      <c r="I137" s="47">
        <f>ROUND(D137*H137,0)</f>
        <v>4694</v>
      </c>
      <c r="J137" s="46" t="s">
        <v>424</v>
      </c>
      <c r="K137" s="46" t="s">
        <v>418</v>
      </c>
      <c r="L137" s="64" t="s">
        <v>472</v>
      </c>
      <c r="M137" s="49" t="s">
        <v>504</v>
      </c>
    </row>
    <row r="138" ht="45" spans="1:13">
      <c r="A138" s="55" t="s">
        <v>473</v>
      </c>
      <c r="B138" s="56" t="s">
        <v>474</v>
      </c>
      <c r="C138" s="55" t="s">
        <v>145</v>
      </c>
      <c r="D138" s="57" t="s">
        <v>145</v>
      </c>
      <c r="E138" s="52"/>
      <c r="F138" s="35" t="str">
        <f t="shared" si="11"/>
        <v/>
      </c>
      <c r="G138" s="44" t="s">
        <v>145</v>
      </c>
      <c r="H138" s="45"/>
      <c r="I138" s="37"/>
      <c r="J138" s="43"/>
      <c r="K138" s="58"/>
      <c r="L138" s="46"/>
      <c r="M138" s="46"/>
    </row>
    <row r="139" ht="22.5" spans="1:13">
      <c r="A139" s="55" t="s">
        <v>94</v>
      </c>
      <c r="B139" s="56" t="s">
        <v>475</v>
      </c>
      <c r="C139" s="55" t="s">
        <v>145</v>
      </c>
      <c r="D139" s="57" t="s">
        <v>145</v>
      </c>
      <c r="E139" s="52"/>
      <c r="F139" s="35" t="str">
        <f t="shared" si="11"/>
        <v/>
      </c>
      <c r="G139" s="44" t="s">
        <v>145</v>
      </c>
      <c r="H139" s="45"/>
      <c r="I139" s="37"/>
      <c r="J139" s="43"/>
      <c r="K139" s="58"/>
      <c r="L139" s="46"/>
      <c r="M139" s="46"/>
    </row>
    <row r="140" ht="107.25" customHeight="1" spans="1:13">
      <c r="A140" s="55" t="s">
        <v>37</v>
      </c>
      <c r="B140" s="56" t="s">
        <v>476</v>
      </c>
      <c r="C140" s="55" t="s">
        <v>39</v>
      </c>
      <c r="D140" s="57">
        <v>46.23</v>
      </c>
      <c r="E140" s="52">
        <v>100</v>
      </c>
      <c r="F140" s="35">
        <f t="shared" si="11"/>
        <v>4623</v>
      </c>
      <c r="G140" s="44">
        <v>880.18</v>
      </c>
      <c r="H140" s="36">
        <v>140</v>
      </c>
      <c r="I140" s="47">
        <f>ROUND(D140*H140,0)</f>
        <v>6472</v>
      </c>
      <c r="J140" s="46" t="s">
        <v>424</v>
      </c>
      <c r="K140" s="46" t="s">
        <v>418</v>
      </c>
      <c r="L140" s="64" t="s">
        <v>477</v>
      </c>
      <c r="M140" s="49" t="s">
        <v>504</v>
      </c>
    </row>
    <row r="141" ht="22.5" spans="1:13">
      <c r="A141" s="55" t="s">
        <v>98</v>
      </c>
      <c r="B141" s="56" t="s">
        <v>539</v>
      </c>
      <c r="C141" s="55" t="s">
        <v>145</v>
      </c>
      <c r="D141" s="57" t="s">
        <v>145</v>
      </c>
      <c r="E141" s="52"/>
      <c r="F141" s="35" t="str">
        <f t="shared" si="11"/>
        <v/>
      </c>
      <c r="G141" s="44" t="s">
        <v>145</v>
      </c>
      <c r="H141" s="45"/>
      <c r="I141" s="37"/>
      <c r="J141" s="43"/>
      <c r="K141" s="58"/>
      <c r="L141" s="46"/>
      <c r="M141" s="46"/>
    </row>
    <row r="142" ht="98.25" customHeight="1" spans="1:13">
      <c r="A142" s="55" t="s">
        <v>78</v>
      </c>
      <c r="B142" s="56" t="s">
        <v>540</v>
      </c>
      <c r="C142" s="55" t="s">
        <v>39</v>
      </c>
      <c r="D142" s="57">
        <v>20.4</v>
      </c>
      <c r="E142" s="52">
        <v>260</v>
      </c>
      <c r="F142" s="35">
        <f t="shared" si="11"/>
        <v>5304</v>
      </c>
      <c r="G142" s="44">
        <v>1081.31</v>
      </c>
      <c r="H142" s="45">
        <v>320</v>
      </c>
      <c r="I142" s="37">
        <f>ROUND(D142*H142,0)</f>
        <v>6528</v>
      </c>
      <c r="J142" s="46" t="s">
        <v>424</v>
      </c>
      <c r="K142" s="46" t="s">
        <v>418</v>
      </c>
      <c r="L142" s="64" t="s">
        <v>481</v>
      </c>
      <c r="M142" s="49" t="s">
        <v>504</v>
      </c>
    </row>
    <row r="143" ht="22.5" spans="1:13">
      <c r="A143" s="55" t="s">
        <v>50</v>
      </c>
      <c r="B143" s="56" t="s">
        <v>541</v>
      </c>
      <c r="C143" s="55" t="s">
        <v>145</v>
      </c>
      <c r="D143" s="57" t="s">
        <v>145</v>
      </c>
      <c r="E143" s="52"/>
      <c r="F143" s="35" t="str">
        <f t="shared" si="11"/>
        <v/>
      </c>
      <c r="G143" s="44" t="s">
        <v>145</v>
      </c>
      <c r="H143" s="45"/>
      <c r="I143" s="37"/>
      <c r="J143" s="43"/>
      <c r="K143" s="58"/>
      <c r="L143" s="46"/>
      <c r="M143" s="46"/>
    </row>
    <row r="144" ht="87.75" customHeight="1" spans="1:13">
      <c r="A144" s="55" t="s">
        <v>52</v>
      </c>
      <c r="B144" s="56" t="s">
        <v>542</v>
      </c>
      <c r="C144" s="55" t="s">
        <v>39</v>
      </c>
      <c r="D144" s="57">
        <v>3.73</v>
      </c>
      <c r="E144" s="52">
        <v>260</v>
      </c>
      <c r="F144" s="35">
        <f t="shared" si="11"/>
        <v>970</v>
      </c>
      <c r="G144" s="44">
        <v>1063.05</v>
      </c>
      <c r="H144" s="45">
        <v>350</v>
      </c>
      <c r="I144" s="37">
        <f>ROUND(D144*H144,0)</f>
        <v>1306</v>
      </c>
      <c r="J144" s="46" t="s">
        <v>424</v>
      </c>
      <c r="K144" s="46" t="s">
        <v>418</v>
      </c>
      <c r="L144" s="64" t="s">
        <v>481</v>
      </c>
      <c r="M144" s="49" t="s">
        <v>504</v>
      </c>
    </row>
    <row r="145" ht="22.5" spans="1:14">
      <c r="A145" s="55" t="s">
        <v>56</v>
      </c>
      <c r="B145" s="56" t="s">
        <v>479</v>
      </c>
      <c r="C145" s="55" t="s">
        <v>145</v>
      </c>
      <c r="D145" s="57" t="s">
        <v>145</v>
      </c>
      <c r="E145" s="52"/>
      <c r="F145" s="35" t="str">
        <f t="shared" si="11"/>
        <v/>
      </c>
      <c r="G145" s="44" t="s">
        <v>145</v>
      </c>
      <c r="H145" s="45"/>
      <c r="I145" s="37"/>
      <c r="J145" s="43"/>
      <c r="K145" s="58"/>
      <c r="L145" s="46"/>
      <c r="M145" s="46"/>
    </row>
    <row r="146" ht="83.25" customHeight="1" spans="1:14">
      <c r="A146" s="55" t="s">
        <v>58</v>
      </c>
      <c r="B146" s="56" t="s">
        <v>506</v>
      </c>
      <c r="C146" s="55" t="s">
        <v>39</v>
      </c>
      <c r="D146" s="57">
        <v>19.86</v>
      </c>
      <c r="E146" s="52">
        <v>240</v>
      </c>
      <c r="F146" s="35">
        <f t="shared" si="11"/>
        <v>4766</v>
      </c>
      <c r="G146" s="44">
        <v>962.18</v>
      </c>
      <c r="H146" s="36">
        <v>200</v>
      </c>
      <c r="I146" s="37">
        <f>ROUND(D146*H146,0)</f>
        <v>3972</v>
      </c>
      <c r="J146" s="46" t="s">
        <v>424</v>
      </c>
      <c r="K146" s="46" t="s">
        <v>418</v>
      </c>
      <c r="L146" s="64" t="s">
        <v>543</v>
      </c>
      <c r="M146" s="49" t="s">
        <v>544</v>
      </c>
    </row>
    <row r="147" ht="45" spans="1:14">
      <c r="A147" s="72" t="s">
        <v>545</v>
      </c>
      <c r="B147" s="73" t="s">
        <v>546</v>
      </c>
      <c r="C147" s="41" t="s">
        <v>145</v>
      </c>
      <c r="D147" s="41" t="s">
        <v>145</v>
      </c>
      <c r="E147" s="43"/>
      <c r="F147" s="35" t="str">
        <f t="shared" si="11"/>
        <v/>
      </c>
      <c r="G147" s="41" t="s">
        <v>145</v>
      </c>
      <c r="H147" s="35"/>
      <c r="I147" s="35"/>
      <c r="J147" s="46"/>
      <c r="K147" s="46"/>
      <c r="L147" s="46"/>
      <c r="M147" s="46"/>
      <c r="N147" s="121"/>
    </row>
    <row r="148" ht="22.5" spans="1:14">
      <c r="A148" s="72" t="s">
        <v>98</v>
      </c>
      <c r="B148" s="73" t="s">
        <v>547</v>
      </c>
      <c r="C148" s="41" t="s">
        <v>145</v>
      </c>
      <c r="D148" s="41" t="s">
        <v>145</v>
      </c>
      <c r="E148" s="43"/>
      <c r="F148" s="35" t="str">
        <f t="shared" si="11"/>
        <v/>
      </c>
      <c r="G148" s="41" t="s">
        <v>145</v>
      </c>
      <c r="H148" s="35"/>
      <c r="I148" s="35"/>
      <c r="J148" s="46"/>
      <c r="K148" s="46"/>
      <c r="L148" s="46"/>
      <c r="M148" s="46"/>
      <c r="N148" s="121"/>
    </row>
    <row r="149" ht="100.5" customHeight="1" spans="1:14">
      <c r="A149" s="72" t="s">
        <v>78</v>
      </c>
      <c r="B149" s="73" t="s">
        <v>548</v>
      </c>
      <c r="C149" s="41" t="s">
        <v>39</v>
      </c>
      <c r="D149" s="41">
        <v>69.8</v>
      </c>
      <c r="E149" s="43">
        <v>600</v>
      </c>
      <c r="F149" s="35">
        <f t="shared" si="11"/>
        <v>41880</v>
      </c>
      <c r="G149" s="81">
        <v>3163.14</v>
      </c>
      <c r="H149" s="35">
        <v>900</v>
      </c>
      <c r="I149" s="47">
        <f>ROUND(D149*H149,0)</f>
        <v>62820</v>
      </c>
      <c r="J149" s="46" t="s">
        <v>424</v>
      </c>
      <c r="K149" s="46" t="s">
        <v>418</v>
      </c>
      <c r="L149" s="46" t="s">
        <v>549</v>
      </c>
      <c r="M149" s="49" t="s">
        <v>550</v>
      </c>
      <c r="N149" s="122" t="s">
        <v>551</v>
      </c>
    </row>
    <row r="150" ht="45" spans="1:14">
      <c r="A150" s="55" t="s">
        <v>482</v>
      </c>
      <c r="B150" s="56" t="s">
        <v>483</v>
      </c>
      <c r="C150" s="55" t="s">
        <v>145</v>
      </c>
      <c r="D150" s="57" t="s">
        <v>145</v>
      </c>
      <c r="E150" s="52"/>
      <c r="F150" s="35" t="str">
        <f t="shared" si="11"/>
        <v/>
      </c>
      <c r="G150" s="94" t="s">
        <v>145</v>
      </c>
      <c r="H150" s="35"/>
      <c r="I150" s="35"/>
      <c r="J150" s="43"/>
      <c r="K150" s="58"/>
      <c r="L150" s="46"/>
      <c r="M150" s="110"/>
      <c r="N150" s="121"/>
    </row>
    <row r="151" customHeight="1" spans="1:14">
      <c r="A151" s="55" t="s">
        <v>98</v>
      </c>
      <c r="B151" s="56" t="s">
        <v>552</v>
      </c>
      <c r="C151" s="55" t="s">
        <v>145</v>
      </c>
      <c r="D151" s="57" t="s">
        <v>145</v>
      </c>
      <c r="E151" s="52"/>
      <c r="F151" s="35" t="str">
        <f t="shared" si="11"/>
        <v/>
      </c>
      <c r="G151" s="94" t="s">
        <v>145</v>
      </c>
      <c r="H151" s="35"/>
      <c r="I151" s="35"/>
      <c r="J151" s="43"/>
      <c r="K151" s="58"/>
      <c r="L151" s="46"/>
      <c r="M151" s="110"/>
      <c r="N151" s="121"/>
    </row>
    <row r="152" ht="93.75" customHeight="1" spans="1:14">
      <c r="A152" s="55" t="s">
        <v>289</v>
      </c>
      <c r="B152" s="56" t="s">
        <v>553</v>
      </c>
      <c r="C152" s="55" t="s">
        <v>39</v>
      </c>
      <c r="D152" s="57">
        <v>5.84</v>
      </c>
      <c r="E152" s="52">
        <v>200</v>
      </c>
      <c r="F152" s="35">
        <f t="shared" si="11"/>
        <v>1168</v>
      </c>
      <c r="G152" s="94">
        <v>830.05</v>
      </c>
      <c r="H152" s="35">
        <v>200</v>
      </c>
      <c r="I152" s="47">
        <f>ROUND(D152*H152,0)</f>
        <v>1168</v>
      </c>
      <c r="J152" s="46" t="s">
        <v>424</v>
      </c>
      <c r="K152" s="46" t="s">
        <v>418</v>
      </c>
      <c r="L152" s="58" t="s">
        <v>481</v>
      </c>
      <c r="M152" s="49" t="s">
        <v>544</v>
      </c>
      <c r="N152" s="121"/>
    </row>
    <row r="153" ht="33.75" customHeight="1" spans="1:14">
      <c r="A153" s="55" t="s">
        <v>554</v>
      </c>
      <c r="B153" s="56" t="s">
        <v>555</v>
      </c>
      <c r="C153" s="55" t="s">
        <v>145</v>
      </c>
      <c r="D153" s="57" t="s">
        <v>145</v>
      </c>
      <c r="E153" s="52"/>
      <c r="F153" s="35" t="str">
        <f t="shared" si="11"/>
        <v/>
      </c>
      <c r="G153" s="94" t="s">
        <v>145</v>
      </c>
      <c r="H153" s="35"/>
      <c r="I153" s="35"/>
      <c r="J153" s="43"/>
      <c r="K153" s="58"/>
      <c r="L153" s="46"/>
      <c r="M153" s="110"/>
      <c r="N153" s="121"/>
    </row>
    <row r="154" ht="54" customHeight="1" spans="1:14">
      <c r="A154" s="55" t="s">
        <v>556</v>
      </c>
      <c r="B154" s="56" t="s">
        <v>557</v>
      </c>
      <c r="C154" s="55" t="s">
        <v>145</v>
      </c>
      <c r="D154" s="57" t="s">
        <v>145</v>
      </c>
      <c r="E154" s="52"/>
      <c r="F154" s="35" t="str">
        <f t="shared" si="11"/>
        <v/>
      </c>
      <c r="G154" s="94" t="s">
        <v>145</v>
      </c>
      <c r="H154" s="35"/>
      <c r="I154" s="35"/>
      <c r="J154" s="43"/>
      <c r="K154" s="58"/>
      <c r="L154" s="46"/>
      <c r="M154" s="110"/>
      <c r="N154" s="121"/>
    </row>
    <row r="155" ht="74.25" customHeight="1" spans="1:14">
      <c r="A155" s="55" t="s">
        <v>94</v>
      </c>
      <c r="B155" s="56" t="s">
        <v>558</v>
      </c>
      <c r="C155" s="55" t="s">
        <v>39</v>
      </c>
      <c r="D155" s="57">
        <v>13.29</v>
      </c>
      <c r="E155" s="52">
        <v>125</v>
      </c>
      <c r="F155" s="35">
        <f t="shared" si="11"/>
        <v>1661</v>
      </c>
      <c r="G155" s="94">
        <v>776.71</v>
      </c>
      <c r="H155" s="35">
        <v>125</v>
      </c>
      <c r="I155" s="47">
        <f>ROUND(D155*H155,0)</f>
        <v>1661</v>
      </c>
      <c r="J155" s="46" t="s">
        <v>559</v>
      </c>
      <c r="K155" s="46" t="s">
        <v>418</v>
      </c>
      <c r="L155" s="58" t="s">
        <v>560</v>
      </c>
      <c r="M155" s="110"/>
      <c r="N155" s="121"/>
    </row>
    <row r="156" spans="1:14">
      <c r="A156" s="55" t="s">
        <v>561</v>
      </c>
      <c r="B156" s="56" t="s">
        <v>562</v>
      </c>
      <c r="C156" s="55" t="s">
        <v>145</v>
      </c>
      <c r="D156" s="57" t="s">
        <v>145</v>
      </c>
      <c r="E156" s="52"/>
      <c r="F156" s="35" t="str">
        <f t="shared" si="11"/>
        <v/>
      </c>
      <c r="G156" s="94" t="s">
        <v>145</v>
      </c>
      <c r="H156" s="35"/>
      <c r="I156" s="35"/>
      <c r="J156" s="46"/>
      <c r="K156" s="58"/>
      <c r="L156" s="58"/>
      <c r="M156" s="110"/>
      <c r="N156" s="121"/>
    </row>
    <row r="157" ht="116.25" customHeight="1" spans="1:14">
      <c r="A157" s="55" t="s">
        <v>98</v>
      </c>
      <c r="B157" s="56" t="s">
        <v>563</v>
      </c>
      <c r="C157" s="55" t="s">
        <v>48</v>
      </c>
      <c r="D157" s="57">
        <v>132.87</v>
      </c>
      <c r="E157" s="52">
        <v>2</v>
      </c>
      <c r="F157" s="35">
        <f t="shared" si="11"/>
        <v>266</v>
      </c>
      <c r="G157" s="94">
        <v>21.78</v>
      </c>
      <c r="H157" s="35">
        <v>2</v>
      </c>
      <c r="I157" s="47">
        <f>ROUND(D157*H157,0)</f>
        <v>266</v>
      </c>
      <c r="J157" s="46" t="s">
        <v>564</v>
      </c>
      <c r="K157" s="58" t="s">
        <v>565</v>
      </c>
      <c r="L157" s="58" t="s">
        <v>566</v>
      </c>
      <c r="M157" s="110"/>
      <c r="N157" s="121"/>
    </row>
    <row r="158" spans="1:14">
      <c r="A158" s="55" t="s">
        <v>567</v>
      </c>
      <c r="B158" s="56" t="s">
        <v>568</v>
      </c>
      <c r="C158" s="55" t="s">
        <v>145</v>
      </c>
      <c r="D158" s="57" t="s">
        <v>145</v>
      </c>
      <c r="E158" s="52"/>
      <c r="F158" s="35" t="str">
        <f t="shared" si="11"/>
        <v/>
      </c>
      <c r="G158" s="94" t="s">
        <v>145</v>
      </c>
      <c r="H158" s="35"/>
      <c r="I158" s="35"/>
      <c r="J158" s="43"/>
      <c r="K158" s="58"/>
      <c r="L158" s="46"/>
      <c r="M158" s="110"/>
      <c r="N158" s="121"/>
    </row>
    <row r="159" ht="45" spans="1:14">
      <c r="A159" s="55" t="s">
        <v>94</v>
      </c>
      <c r="B159" s="56" t="s">
        <v>569</v>
      </c>
      <c r="C159" s="55" t="s">
        <v>145</v>
      </c>
      <c r="D159" s="57" t="s">
        <v>145</v>
      </c>
      <c r="E159" s="52"/>
      <c r="F159" s="35" t="str">
        <f t="shared" si="11"/>
        <v/>
      </c>
      <c r="G159" s="94" t="s">
        <v>145</v>
      </c>
      <c r="H159" s="35"/>
      <c r="I159" s="35"/>
      <c r="J159" s="43"/>
      <c r="K159" s="58"/>
      <c r="L159" s="46"/>
      <c r="M159" s="110"/>
      <c r="N159" s="121"/>
    </row>
    <row r="160" ht="261" customHeight="1" spans="1:14">
      <c r="A160" s="55" t="s">
        <v>37</v>
      </c>
      <c r="B160" s="56" t="s">
        <v>570</v>
      </c>
      <c r="C160" s="55" t="s">
        <v>437</v>
      </c>
      <c r="D160" s="57">
        <v>435</v>
      </c>
      <c r="E160" s="52">
        <v>5</v>
      </c>
      <c r="F160" s="35">
        <f t="shared" si="11"/>
        <v>2175</v>
      </c>
      <c r="G160" s="94">
        <v>6.1</v>
      </c>
      <c r="H160" s="82">
        <v>2</v>
      </c>
      <c r="I160" s="47">
        <f>ROUND(D160*H160,0)</f>
        <v>870</v>
      </c>
      <c r="J160" s="49" t="s">
        <v>571</v>
      </c>
      <c r="K160" s="58" t="s">
        <v>572</v>
      </c>
      <c r="L160" s="46" t="s">
        <v>573</v>
      </c>
      <c r="M160" s="110"/>
      <c r="N160" s="121"/>
    </row>
    <row r="161" ht="264.75" customHeight="1" spans="1:14">
      <c r="A161" s="55" t="s">
        <v>46</v>
      </c>
      <c r="B161" s="56" t="s">
        <v>574</v>
      </c>
      <c r="C161" s="55" t="s">
        <v>85</v>
      </c>
      <c r="D161" s="57">
        <v>148</v>
      </c>
      <c r="E161" s="52">
        <v>25</v>
      </c>
      <c r="F161" s="35">
        <f t="shared" si="11"/>
        <v>3700</v>
      </c>
      <c r="G161" s="94">
        <v>31.47</v>
      </c>
      <c r="H161" s="82">
        <v>8</v>
      </c>
      <c r="I161" s="47">
        <f>ROUND(D161*H161,0)</f>
        <v>1184</v>
      </c>
      <c r="J161" s="49" t="s">
        <v>575</v>
      </c>
      <c r="K161" s="58" t="s">
        <v>572</v>
      </c>
      <c r="L161" s="46" t="s">
        <v>573</v>
      </c>
      <c r="M161" s="110"/>
      <c r="N161" s="121"/>
    </row>
    <row r="162" spans="1:14">
      <c r="A162" s="55" t="s">
        <v>576</v>
      </c>
      <c r="B162" s="56" t="s">
        <v>577</v>
      </c>
      <c r="C162" s="55" t="s">
        <v>145</v>
      </c>
      <c r="D162" s="57" t="s">
        <v>145</v>
      </c>
      <c r="E162" s="52"/>
      <c r="F162" s="35" t="str">
        <f t="shared" si="11"/>
        <v/>
      </c>
      <c r="G162" s="94" t="s">
        <v>145</v>
      </c>
      <c r="H162" s="35"/>
      <c r="I162" s="35"/>
      <c r="J162" s="43"/>
      <c r="K162" s="58"/>
      <c r="L162" s="46"/>
      <c r="M162" s="110"/>
      <c r="N162" s="121"/>
    </row>
    <row r="163" spans="1:14">
      <c r="A163" s="55" t="s">
        <v>578</v>
      </c>
      <c r="B163" s="56" t="s">
        <v>579</v>
      </c>
      <c r="C163" s="55"/>
      <c r="D163" s="57"/>
      <c r="E163" s="52"/>
      <c r="F163" s="35">
        <f t="shared" si="11"/>
        <v>0</v>
      </c>
      <c r="G163" s="94"/>
      <c r="H163" s="35"/>
      <c r="I163" s="35"/>
      <c r="J163" s="43"/>
      <c r="K163" s="58"/>
      <c r="L163" s="46"/>
      <c r="M163" s="110"/>
      <c r="N163" s="121"/>
    </row>
    <row r="164" ht="148.5" customHeight="1" spans="1:14">
      <c r="A164" s="55" t="s">
        <v>94</v>
      </c>
      <c r="B164" s="56" t="s">
        <v>580</v>
      </c>
      <c r="C164" s="55" t="s">
        <v>287</v>
      </c>
      <c r="D164" s="57">
        <v>8</v>
      </c>
      <c r="E164" s="52">
        <v>20</v>
      </c>
      <c r="F164" s="35">
        <f t="shared" si="11"/>
        <v>160</v>
      </c>
      <c r="G164" s="94"/>
      <c r="H164" s="35">
        <v>20</v>
      </c>
      <c r="I164" s="47">
        <f>ROUND(D164*H164,0)</f>
        <v>160</v>
      </c>
      <c r="J164" s="46" t="s">
        <v>581</v>
      </c>
      <c r="K164" s="58" t="s">
        <v>582</v>
      </c>
      <c r="L164" s="58" t="s">
        <v>583</v>
      </c>
      <c r="M164" s="110"/>
      <c r="N164" s="121"/>
    </row>
    <row r="165" ht="88.5" customHeight="1" spans="1:14">
      <c r="A165" s="55" t="s">
        <v>584</v>
      </c>
      <c r="B165" s="56" t="s">
        <v>585</v>
      </c>
      <c r="C165" s="55" t="s">
        <v>85</v>
      </c>
      <c r="D165" s="57">
        <v>88</v>
      </c>
      <c r="E165" s="52">
        <v>30</v>
      </c>
      <c r="F165" s="35">
        <f t="shared" si="11"/>
        <v>2640</v>
      </c>
      <c r="G165" s="94">
        <v>128.85</v>
      </c>
      <c r="H165" s="35">
        <v>10</v>
      </c>
      <c r="I165" s="47">
        <f>ROUND(D165*H165,0)</f>
        <v>880</v>
      </c>
      <c r="J165" s="46" t="s">
        <v>586</v>
      </c>
      <c r="K165" s="58" t="s">
        <v>587</v>
      </c>
      <c r="L165" s="46" t="s">
        <v>588</v>
      </c>
      <c r="M165" s="110"/>
      <c r="N165" s="121"/>
    </row>
    <row r="166" ht="107.25" customHeight="1" spans="1:14">
      <c r="A166" s="55" t="s">
        <v>589</v>
      </c>
      <c r="B166" s="62" t="s">
        <v>590</v>
      </c>
      <c r="C166" s="55" t="s">
        <v>39</v>
      </c>
      <c r="D166" s="57">
        <v>2.1</v>
      </c>
      <c r="E166" s="52">
        <v>345</v>
      </c>
      <c r="F166" s="35">
        <f t="shared" si="11"/>
        <v>725</v>
      </c>
      <c r="G166" s="94">
        <v>493.23</v>
      </c>
      <c r="H166" s="82">
        <v>240</v>
      </c>
      <c r="I166" s="47">
        <f>ROUND(D166*H166,0)</f>
        <v>504</v>
      </c>
      <c r="J166" s="49" t="s">
        <v>591</v>
      </c>
      <c r="K166" s="46" t="s">
        <v>418</v>
      </c>
      <c r="L166" s="49" t="s">
        <v>592</v>
      </c>
      <c r="M166" s="84" t="s">
        <v>593</v>
      </c>
      <c r="N166" s="121"/>
    </row>
    <row r="167" ht="94.5" customHeight="1" spans="1:14">
      <c r="A167" s="55" t="s">
        <v>594</v>
      </c>
      <c r="B167" s="56" t="s">
        <v>595</v>
      </c>
      <c r="C167" s="55" t="s">
        <v>437</v>
      </c>
      <c r="D167" s="57">
        <v>88</v>
      </c>
      <c r="E167" s="52">
        <v>6</v>
      </c>
      <c r="F167" s="35">
        <f t="shared" si="11"/>
        <v>528</v>
      </c>
      <c r="G167" s="94">
        <v>7.1</v>
      </c>
      <c r="H167" s="82">
        <v>2</v>
      </c>
      <c r="I167" s="47">
        <f>ROUND(D167*H167,0)</f>
        <v>176</v>
      </c>
      <c r="J167" s="49" t="s">
        <v>596</v>
      </c>
      <c r="K167" s="46" t="s">
        <v>418</v>
      </c>
      <c r="L167" s="46" t="s">
        <v>597</v>
      </c>
      <c r="M167" s="110"/>
      <c r="N167" s="121"/>
    </row>
    <row r="168" ht="93" customHeight="1" spans="1:14">
      <c r="A168" s="55">
        <v>437</v>
      </c>
      <c r="B168" s="56" t="s">
        <v>598</v>
      </c>
      <c r="C168" s="55" t="s">
        <v>39</v>
      </c>
      <c r="D168" s="57">
        <v>8.95</v>
      </c>
      <c r="E168" s="52">
        <v>15</v>
      </c>
      <c r="F168" s="35">
        <f t="shared" si="11"/>
        <v>134</v>
      </c>
      <c r="G168" s="44">
        <v>208.85</v>
      </c>
      <c r="H168" s="123">
        <v>15</v>
      </c>
      <c r="I168" s="37">
        <f>ROUND(D168*H168,0)</f>
        <v>134</v>
      </c>
      <c r="J168" s="46" t="s">
        <v>599</v>
      </c>
      <c r="K168" s="46" t="s">
        <v>418</v>
      </c>
      <c r="L168" s="46" t="s">
        <v>600</v>
      </c>
      <c r="M168" s="46"/>
      <c r="N168" s="5">
        <v>514570</v>
      </c>
    </row>
    <row r="169" ht="93.75" customHeight="1" spans="1:14">
      <c r="A169" s="124">
        <v>11</v>
      </c>
      <c r="B169" s="69" t="s">
        <v>601</v>
      </c>
      <c r="C169" s="68" t="s">
        <v>145</v>
      </c>
      <c r="D169" s="55"/>
      <c r="E169" s="43"/>
      <c r="F169" s="88">
        <f t="shared" ref="F169:F185" si="12">ROUND(E169*D169,0)</f>
        <v>0</v>
      </c>
      <c r="G169" s="70" t="s">
        <v>145</v>
      </c>
      <c r="H169" s="36"/>
      <c r="I169" s="88">
        <f t="shared" ref="I169:I185" si="13">ROUND(D169*H169,0)</f>
        <v>0</v>
      </c>
      <c r="J169" s="46"/>
      <c r="K169" s="58"/>
      <c r="L169" s="58"/>
      <c r="M169" s="46"/>
    </row>
    <row r="170" ht="22.5" spans="1:14">
      <c r="A170" s="72" t="s">
        <v>433</v>
      </c>
      <c r="B170" s="73" t="s">
        <v>223</v>
      </c>
      <c r="C170" s="41" t="s">
        <v>145</v>
      </c>
      <c r="D170" s="41"/>
      <c r="E170" s="43"/>
      <c r="F170" s="88">
        <f t="shared" si="12"/>
        <v>0</v>
      </c>
      <c r="G170" s="41" t="s">
        <v>145</v>
      </c>
      <c r="H170" s="36"/>
      <c r="I170" s="88">
        <f t="shared" si="13"/>
        <v>0</v>
      </c>
      <c r="J170" s="46"/>
      <c r="K170" s="61"/>
      <c r="L170" s="61"/>
      <c r="M170" s="46"/>
    </row>
    <row r="171" ht="90" spans="1:14">
      <c r="A171" s="72" t="s">
        <v>434</v>
      </c>
      <c r="B171" s="73" t="s">
        <v>435</v>
      </c>
      <c r="C171" s="41" t="s">
        <v>145</v>
      </c>
      <c r="D171" s="41"/>
      <c r="E171" s="43"/>
      <c r="F171" s="88">
        <f t="shared" si="12"/>
        <v>0</v>
      </c>
      <c r="G171" s="41" t="s">
        <v>145</v>
      </c>
      <c r="H171" s="36"/>
      <c r="I171" s="88">
        <f t="shared" si="13"/>
        <v>0</v>
      </c>
      <c r="J171" s="46"/>
      <c r="K171" s="61"/>
      <c r="L171" s="61"/>
      <c r="M171" s="46"/>
    </row>
    <row r="172" ht="124.5" customHeight="1" spans="1:14">
      <c r="A172" s="72" t="s">
        <v>98</v>
      </c>
      <c r="B172" s="73" t="s">
        <v>436</v>
      </c>
      <c r="C172" s="41" t="s">
        <v>437</v>
      </c>
      <c r="D172" s="41">
        <v>16026</v>
      </c>
      <c r="E172" s="43">
        <v>0.65</v>
      </c>
      <c r="F172" s="88">
        <f t="shared" si="12"/>
        <v>10417</v>
      </c>
      <c r="G172" s="41">
        <v>5.74</v>
      </c>
      <c r="H172" s="36">
        <v>0.7</v>
      </c>
      <c r="I172" s="88">
        <f t="shared" si="13"/>
        <v>11218</v>
      </c>
      <c r="J172" s="46" t="s">
        <v>438</v>
      </c>
      <c r="K172" s="46" t="s">
        <v>418</v>
      </c>
      <c r="L172" s="58" t="s">
        <v>500</v>
      </c>
      <c r="M172" s="46"/>
    </row>
    <row r="173" ht="22.5" spans="1:14">
      <c r="A173" s="72" t="s">
        <v>440</v>
      </c>
      <c r="B173" s="73" t="s">
        <v>441</v>
      </c>
      <c r="C173" s="41" t="s">
        <v>145</v>
      </c>
      <c r="D173" s="41"/>
      <c r="E173" s="43"/>
      <c r="F173" s="88">
        <f t="shared" si="12"/>
        <v>0</v>
      </c>
      <c r="G173" s="41" t="s">
        <v>145</v>
      </c>
      <c r="H173" s="36"/>
      <c r="I173" s="88">
        <f t="shared" si="13"/>
        <v>0</v>
      </c>
      <c r="J173" s="46"/>
      <c r="K173" s="61"/>
      <c r="L173" s="61"/>
      <c r="M173" s="46"/>
    </row>
    <row r="174" ht="134.25" customHeight="1" spans="1:14">
      <c r="A174" s="72" t="s">
        <v>94</v>
      </c>
      <c r="B174" s="73" t="s">
        <v>517</v>
      </c>
      <c r="C174" s="41" t="s">
        <v>437</v>
      </c>
      <c r="D174" s="41">
        <v>738</v>
      </c>
      <c r="E174" s="43">
        <v>0.68</v>
      </c>
      <c r="F174" s="88">
        <f t="shared" si="12"/>
        <v>502</v>
      </c>
      <c r="G174" s="41">
        <v>5.93</v>
      </c>
      <c r="H174" s="36">
        <v>0.74</v>
      </c>
      <c r="I174" s="88">
        <f t="shared" si="13"/>
        <v>546</v>
      </c>
      <c r="J174" s="46" t="s">
        <v>518</v>
      </c>
      <c r="K174" s="46" t="s">
        <v>418</v>
      </c>
      <c r="L174" s="58" t="s">
        <v>602</v>
      </c>
      <c r="M174" s="46"/>
    </row>
    <row r="175" ht="138.75" customHeight="1" spans="1:14">
      <c r="A175" s="72" t="s">
        <v>98</v>
      </c>
      <c r="B175" s="73" t="s">
        <v>436</v>
      </c>
      <c r="C175" s="41" t="s">
        <v>437</v>
      </c>
      <c r="D175" s="41">
        <v>36109</v>
      </c>
      <c r="E175" s="43">
        <v>0.68</v>
      </c>
      <c r="F175" s="88">
        <f t="shared" si="12"/>
        <v>24554</v>
      </c>
      <c r="G175" s="41">
        <v>6.04</v>
      </c>
      <c r="H175" s="36">
        <v>0.74</v>
      </c>
      <c r="I175" s="88">
        <f t="shared" si="13"/>
        <v>26721</v>
      </c>
      <c r="J175" s="46" t="s">
        <v>438</v>
      </c>
      <c r="K175" s="46" t="s">
        <v>418</v>
      </c>
      <c r="L175" s="58" t="s">
        <v>500</v>
      </c>
      <c r="M175" s="46"/>
    </row>
    <row r="176" ht="22.5" spans="1:14">
      <c r="A176" s="72" t="s">
        <v>526</v>
      </c>
      <c r="B176" s="73" t="s">
        <v>527</v>
      </c>
      <c r="C176" s="41" t="s">
        <v>145</v>
      </c>
      <c r="D176" s="41"/>
      <c r="E176" s="43"/>
      <c r="F176" s="88">
        <f t="shared" si="12"/>
        <v>0</v>
      </c>
      <c r="G176" s="41" t="s">
        <v>145</v>
      </c>
      <c r="H176" s="36"/>
      <c r="I176" s="88">
        <f t="shared" si="13"/>
        <v>0</v>
      </c>
      <c r="J176" s="46"/>
      <c r="K176" s="61"/>
      <c r="L176" s="61"/>
      <c r="M176" s="46"/>
    </row>
    <row r="177" ht="131.25" customHeight="1" spans="1:13">
      <c r="A177" s="72" t="s">
        <v>98</v>
      </c>
      <c r="B177" s="73" t="s">
        <v>436</v>
      </c>
      <c r="C177" s="41" t="s">
        <v>437</v>
      </c>
      <c r="D177" s="41">
        <v>46693</v>
      </c>
      <c r="E177" s="43">
        <v>0.68</v>
      </c>
      <c r="F177" s="88">
        <f t="shared" si="12"/>
        <v>31751</v>
      </c>
      <c r="G177" s="41">
        <v>6.17</v>
      </c>
      <c r="H177" s="36">
        <v>0.75</v>
      </c>
      <c r="I177" s="88">
        <f t="shared" si="13"/>
        <v>35020</v>
      </c>
      <c r="J177" s="46" t="s">
        <v>438</v>
      </c>
      <c r="K177" s="46" t="s">
        <v>418</v>
      </c>
      <c r="L177" s="58" t="s">
        <v>500</v>
      </c>
      <c r="M177" s="46"/>
    </row>
    <row r="178" ht="22.5" spans="1:13">
      <c r="A178" s="72" t="s">
        <v>446</v>
      </c>
      <c r="B178" s="73" t="s">
        <v>447</v>
      </c>
      <c r="C178" s="41" t="s">
        <v>145</v>
      </c>
      <c r="D178" s="41"/>
      <c r="E178" s="43"/>
      <c r="F178" s="88">
        <f t="shared" si="12"/>
        <v>0</v>
      </c>
      <c r="G178" s="41" t="s">
        <v>145</v>
      </c>
      <c r="H178" s="36"/>
      <c r="I178" s="88">
        <f t="shared" si="13"/>
        <v>0</v>
      </c>
      <c r="J178" s="46"/>
      <c r="K178" s="61"/>
      <c r="L178" s="61"/>
      <c r="M178" s="46"/>
    </row>
    <row r="179" ht="122.25" customHeight="1" spans="1:13">
      <c r="A179" s="72" t="s">
        <v>94</v>
      </c>
      <c r="B179" s="73" t="s">
        <v>517</v>
      </c>
      <c r="C179" s="41" t="s">
        <v>437</v>
      </c>
      <c r="D179" s="41">
        <v>5234</v>
      </c>
      <c r="E179" s="43">
        <v>0.68</v>
      </c>
      <c r="F179" s="88">
        <f t="shared" si="12"/>
        <v>3559</v>
      </c>
      <c r="G179" s="41">
        <v>6.15</v>
      </c>
      <c r="H179" s="36">
        <v>0.74</v>
      </c>
      <c r="I179" s="88">
        <f t="shared" si="13"/>
        <v>3873</v>
      </c>
      <c r="J179" s="46" t="s">
        <v>518</v>
      </c>
      <c r="K179" s="46" t="s">
        <v>418</v>
      </c>
      <c r="L179" s="58" t="s">
        <v>602</v>
      </c>
      <c r="M179" s="46"/>
    </row>
    <row r="180" ht="138" customHeight="1" spans="1:13">
      <c r="A180" s="72" t="s">
        <v>98</v>
      </c>
      <c r="B180" s="73" t="s">
        <v>436</v>
      </c>
      <c r="C180" s="41" t="s">
        <v>437</v>
      </c>
      <c r="D180" s="41">
        <v>240</v>
      </c>
      <c r="E180" s="43">
        <v>0.68</v>
      </c>
      <c r="F180" s="88">
        <f t="shared" si="12"/>
        <v>163</v>
      </c>
      <c r="G180" s="41">
        <v>6.23</v>
      </c>
      <c r="H180" s="36">
        <v>0.74</v>
      </c>
      <c r="I180" s="88">
        <f t="shared" si="13"/>
        <v>178</v>
      </c>
      <c r="J180" s="46" t="s">
        <v>438</v>
      </c>
      <c r="K180" s="46" t="s">
        <v>418</v>
      </c>
      <c r="L180" s="58" t="s">
        <v>500</v>
      </c>
      <c r="M180" s="46"/>
    </row>
    <row r="181" ht="75" customHeight="1" spans="1:13">
      <c r="A181" s="72" t="s">
        <v>56</v>
      </c>
      <c r="B181" s="73" t="s">
        <v>532</v>
      </c>
      <c r="C181" s="41" t="s">
        <v>437</v>
      </c>
      <c r="D181" s="41">
        <v>151</v>
      </c>
      <c r="E181" s="43">
        <v>0.65</v>
      </c>
      <c r="F181" s="88">
        <f t="shared" si="12"/>
        <v>98</v>
      </c>
      <c r="G181" s="41">
        <v>7.97</v>
      </c>
      <c r="H181" s="36">
        <v>0.74</v>
      </c>
      <c r="I181" s="88">
        <f t="shared" si="13"/>
        <v>112</v>
      </c>
      <c r="J181" s="46" t="s">
        <v>533</v>
      </c>
      <c r="K181" s="46" t="s">
        <v>418</v>
      </c>
      <c r="L181" s="46" t="s">
        <v>534</v>
      </c>
      <c r="M181" s="46"/>
    </row>
    <row r="182" ht="72" customHeight="1" spans="1:13">
      <c r="A182" s="72" t="s">
        <v>62</v>
      </c>
      <c r="B182" s="73" t="s">
        <v>535</v>
      </c>
      <c r="C182" s="41" t="s">
        <v>437</v>
      </c>
      <c r="D182" s="41">
        <v>2891</v>
      </c>
      <c r="E182" s="98">
        <v>8</v>
      </c>
      <c r="F182" s="88">
        <f t="shared" si="12"/>
        <v>23128</v>
      </c>
      <c r="G182" s="41">
        <v>10.43</v>
      </c>
      <c r="H182" s="48">
        <v>1</v>
      </c>
      <c r="I182" s="88">
        <f t="shared" si="13"/>
        <v>2891</v>
      </c>
      <c r="J182" s="49" t="s">
        <v>591</v>
      </c>
      <c r="K182" s="46" t="s">
        <v>418</v>
      </c>
      <c r="L182" s="46" t="s">
        <v>603</v>
      </c>
      <c r="M182" s="46"/>
    </row>
    <row r="183" ht="75" customHeight="1" spans="1:13">
      <c r="A183" s="72" t="s">
        <v>310</v>
      </c>
      <c r="B183" s="73" t="s">
        <v>538</v>
      </c>
      <c r="C183" s="41" t="s">
        <v>437</v>
      </c>
      <c r="D183" s="41">
        <v>276</v>
      </c>
      <c r="E183" s="98">
        <v>10</v>
      </c>
      <c r="F183" s="88">
        <f t="shared" si="12"/>
        <v>2760</v>
      </c>
      <c r="G183" s="41">
        <v>13.09</v>
      </c>
      <c r="H183" s="48">
        <v>1</v>
      </c>
      <c r="I183" s="88">
        <f t="shared" si="13"/>
        <v>276</v>
      </c>
      <c r="J183" s="49" t="s">
        <v>591</v>
      </c>
      <c r="K183" s="46" t="s">
        <v>418</v>
      </c>
      <c r="L183" s="46" t="s">
        <v>603</v>
      </c>
      <c r="M183" s="46"/>
    </row>
    <row r="184" ht="45" spans="1:13">
      <c r="A184" s="72" t="s">
        <v>448</v>
      </c>
      <c r="B184" s="73" t="s">
        <v>449</v>
      </c>
      <c r="C184" s="41" t="s">
        <v>145</v>
      </c>
      <c r="D184" s="41"/>
      <c r="E184" s="43"/>
      <c r="F184" s="88">
        <f t="shared" si="12"/>
        <v>0</v>
      </c>
      <c r="G184" s="41" t="s">
        <v>145</v>
      </c>
      <c r="H184" s="36"/>
      <c r="I184" s="88">
        <f t="shared" si="13"/>
        <v>0</v>
      </c>
      <c r="J184" s="46"/>
      <c r="K184" s="61"/>
      <c r="L184" s="61"/>
      <c r="M184" s="46"/>
    </row>
    <row r="185" ht="84" customHeight="1" spans="1:13">
      <c r="A185" s="72" t="s">
        <v>450</v>
      </c>
      <c r="B185" s="73" t="s">
        <v>451</v>
      </c>
      <c r="C185" s="41" t="s">
        <v>39</v>
      </c>
      <c r="D185" s="41">
        <v>150</v>
      </c>
      <c r="E185" s="43">
        <v>12</v>
      </c>
      <c r="F185" s="88">
        <f t="shared" si="12"/>
        <v>1800</v>
      </c>
      <c r="G185" s="41">
        <v>19.96</v>
      </c>
      <c r="H185" s="36">
        <v>12</v>
      </c>
      <c r="I185" s="88">
        <f t="shared" si="13"/>
        <v>1800</v>
      </c>
      <c r="J185" s="46" t="s">
        <v>25</v>
      </c>
      <c r="K185" s="46" t="s">
        <v>418</v>
      </c>
      <c r="L185" s="58" t="s">
        <v>455</v>
      </c>
      <c r="M185" s="46"/>
    </row>
    <row r="186" ht="98.25" customHeight="1" spans="1:13">
      <c r="A186" s="72" t="s">
        <v>453</v>
      </c>
      <c r="B186" s="73" t="s">
        <v>454</v>
      </c>
      <c r="C186" s="41" t="s">
        <v>39</v>
      </c>
      <c r="D186" s="41">
        <v>300</v>
      </c>
      <c r="E186" s="43">
        <v>24</v>
      </c>
      <c r="F186" s="88">
        <f t="shared" ref="F186:F217" si="14">ROUND(E186*D186,0)</f>
        <v>7200</v>
      </c>
      <c r="G186" s="41">
        <v>52.88</v>
      </c>
      <c r="H186" s="36">
        <v>35</v>
      </c>
      <c r="I186" s="88">
        <f t="shared" ref="I186:I217" si="15">ROUND(D186*H186,0)</f>
        <v>10500</v>
      </c>
      <c r="J186" s="46" t="s">
        <v>25</v>
      </c>
      <c r="K186" s="46" t="s">
        <v>418</v>
      </c>
      <c r="L186" s="58" t="s">
        <v>455</v>
      </c>
      <c r="M186" s="46"/>
    </row>
    <row r="187" ht="22.5" spans="1:13">
      <c r="A187" s="72" t="s">
        <v>456</v>
      </c>
      <c r="B187" s="73" t="s">
        <v>457</v>
      </c>
      <c r="C187" s="41"/>
      <c r="D187" s="41"/>
      <c r="E187" s="43"/>
      <c r="F187" s="88">
        <f t="shared" si="14"/>
        <v>0</v>
      </c>
      <c r="G187" s="41"/>
      <c r="H187" s="36"/>
      <c r="I187" s="88">
        <f t="shared" si="15"/>
        <v>0</v>
      </c>
      <c r="J187" s="46"/>
      <c r="K187" s="61"/>
      <c r="L187" s="61"/>
      <c r="M187" s="46"/>
    </row>
    <row r="188" ht="22.5" spans="1:13">
      <c r="A188" s="72" t="s">
        <v>458</v>
      </c>
      <c r="B188" s="73" t="s">
        <v>457</v>
      </c>
      <c r="C188" s="41"/>
      <c r="D188" s="41"/>
      <c r="E188" s="43"/>
      <c r="F188" s="88">
        <f t="shared" si="14"/>
        <v>0</v>
      </c>
      <c r="G188" s="41"/>
      <c r="H188" s="36"/>
      <c r="I188" s="88">
        <f t="shared" si="15"/>
        <v>0</v>
      </c>
      <c r="J188" s="46"/>
      <c r="K188" s="61"/>
      <c r="L188" s="61"/>
      <c r="M188" s="46"/>
    </row>
    <row r="189" ht="45" spans="1:13">
      <c r="A189" s="72" t="s">
        <v>94</v>
      </c>
      <c r="B189" s="73" t="s">
        <v>459</v>
      </c>
      <c r="C189" s="41"/>
      <c r="D189" s="41"/>
      <c r="E189" s="43"/>
      <c r="F189" s="88">
        <f t="shared" si="14"/>
        <v>0</v>
      </c>
      <c r="G189" s="41"/>
      <c r="H189" s="36"/>
      <c r="I189" s="88">
        <f t="shared" si="15"/>
        <v>0</v>
      </c>
      <c r="J189" s="46"/>
      <c r="K189" s="61"/>
      <c r="L189" s="61"/>
      <c r="M189" s="46"/>
    </row>
    <row r="190" ht="234" customHeight="1" spans="1:13">
      <c r="A190" s="72" t="s">
        <v>275</v>
      </c>
      <c r="B190" s="125" t="s">
        <v>604</v>
      </c>
      <c r="C190" s="41" t="s">
        <v>85</v>
      </c>
      <c r="D190" s="41">
        <v>60</v>
      </c>
      <c r="E190" s="43">
        <v>600</v>
      </c>
      <c r="F190" s="88">
        <f t="shared" si="14"/>
        <v>36000</v>
      </c>
      <c r="G190" s="41">
        <v>2280.08</v>
      </c>
      <c r="H190" s="36">
        <v>600</v>
      </c>
      <c r="I190" s="88">
        <f t="shared" si="15"/>
        <v>36000</v>
      </c>
      <c r="J190" s="46" t="s">
        <v>461</v>
      </c>
      <c r="K190" s="46" t="s">
        <v>418</v>
      </c>
      <c r="L190" s="58" t="s">
        <v>462</v>
      </c>
      <c r="M190" s="49" t="s">
        <v>605</v>
      </c>
    </row>
    <row r="191" ht="45" spans="1:13">
      <c r="A191" s="72" t="s">
        <v>464</v>
      </c>
      <c r="B191" s="73" t="s">
        <v>465</v>
      </c>
      <c r="C191" s="41" t="s">
        <v>145</v>
      </c>
      <c r="D191" s="41"/>
      <c r="E191" s="43"/>
      <c r="F191" s="88">
        <f t="shared" si="14"/>
        <v>0</v>
      </c>
      <c r="G191" s="41" t="s">
        <v>145</v>
      </c>
      <c r="H191" s="36"/>
      <c r="I191" s="88">
        <f t="shared" si="15"/>
        <v>0</v>
      </c>
      <c r="J191" s="46"/>
      <c r="K191" s="61"/>
      <c r="L191" s="61"/>
      <c r="M191" s="46"/>
    </row>
    <row r="192" ht="133.5" customHeight="1" spans="1:13">
      <c r="A192" s="72" t="s">
        <v>466</v>
      </c>
      <c r="B192" s="73" t="s">
        <v>467</v>
      </c>
      <c r="C192" s="41" t="s">
        <v>145</v>
      </c>
      <c r="D192" s="41"/>
      <c r="E192" s="43"/>
      <c r="F192" s="88">
        <f t="shared" si="14"/>
        <v>0</v>
      </c>
      <c r="G192" s="41" t="s">
        <v>145</v>
      </c>
      <c r="H192" s="36"/>
      <c r="I192" s="88">
        <f t="shared" si="15"/>
        <v>0</v>
      </c>
      <c r="J192" s="46"/>
      <c r="K192" s="61"/>
      <c r="L192" s="61"/>
      <c r="M192" s="46"/>
    </row>
    <row r="193" ht="132" customHeight="1" spans="1:13">
      <c r="A193" s="72" t="s">
        <v>94</v>
      </c>
      <c r="B193" s="73" t="s">
        <v>468</v>
      </c>
      <c r="C193" s="41" t="s">
        <v>39</v>
      </c>
      <c r="D193" s="41">
        <v>45</v>
      </c>
      <c r="E193" s="43">
        <v>100</v>
      </c>
      <c r="F193" s="88">
        <f t="shared" si="14"/>
        <v>4500</v>
      </c>
      <c r="G193" s="41">
        <v>696.97</v>
      </c>
      <c r="H193" s="36">
        <v>140</v>
      </c>
      <c r="I193" s="88">
        <f t="shared" si="15"/>
        <v>6300</v>
      </c>
      <c r="J193" s="46" t="s">
        <v>424</v>
      </c>
      <c r="K193" s="46" t="s">
        <v>418</v>
      </c>
      <c r="L193" s="64" t="s">
        <v>477</v>
      </c>
      <c r="M193" s="49" t="s">
        <v>504</v>
      </c>
    </row>
    <row r="194" ht="117.75" customHeight="1" spans="1:13">
      <c r="A194" s="72" t="s">
        <v>98</v>
      </c>
      <c r="B194" s="73" t="s">
        <v>521</v>
      </c>
      <c r="C194" s="41" t="s">
        <v>39</v>
      </c>
      <c r="D194" s="41">
        <v>127</v>
      </c>
      <c r="E194" s="43">
        <v>100</v>
      </c>
      <c r="F194" s="88">
        <f t="shared" si="14"/>
        <v>12700</v>
      </c>
      <c r="G194" s="41">
        <v>679.61</v>
      </c>
      <c r="H194" s="36">
        <v>140</v>
      </c>
      <c r="I194" s="88">
        <f t="shared" si="15"/>
        <v>17780</v>
      </c>
      <c r="J194" s="46" t="s">
        <v>424</v>
      </c>
      <c r="K194" s="46" t="s">
        <v>418</v>
      </c>
      <c r="L194" s="64" t="s">
        <v>472</v>
      </c>
      <c r="M194" s="49" t="s">
        <v>504</v>
      </c>
    </row>
    <row r="195" ht="45" spans="1:13">
      <c r="A195" s="72" t="s">
        <v>473</v>
      </c>
      <c r="B195" s="73" t="s">
        <v>474</v>
      </c>
      <c r="C195" s="41" t="s">
        <v>145</v>
      </c>
      <c r="D195" s="41"/>
      <c r="E195" s="43"/>
      <c r="F195" s="88">
        <f t="shared" si="14"/>
        <v>0</v>
      </c>
      <c r="G195" s="41" t="s">
        <v>145</v>
      </c>
      <c r="H195" s="36"/>
      <c r="I195" s="88">
        <f t="shared" si="15"/>
        <v>0</v>
      </c>
      <c r="J195" s="46"/>
      <c r="K195" s="61"/>
      <c r="L195" s="61"/>
      <c r="M195" s="46"/>
    </row>
    <row r="196" ht="22.5" spans="1:13">
      <c r="A196" s="72" t="s">
        <v>94</v>
      </c>
      <c r="B196" s="73" t="s">
        <v>475</v>
      </c>
      <c r="C196" s="41" t="s">
        <v>145</v>
      </c>
      <c r="D196" s="41"/>
      <c r="E196" s="43"/>
      <c r="F196" s="88">
        <f t="shared" si="14"/>
        <v>0</v>
      </c>
      <c r="G196" s="41" t="s">
        <v>145</v>
      </c>
      <c r="H196" s="36"/>
      <c r="I196" s="88">
        <f t="shared" si="15"/>
        <v>0</v>
      </c>
      <c r="J196" s="46"/>
      <c r="K196" s="61"/>
      <c r="L196" s="61"/>
      <c r="M196" s="46"/>
    </row>
    <row r="197" ht="135.75" customHeight="1" spans="1:13">
      <c r="A197" s="72" t="s">
        <v>37</v>
      </c>
      <c r="B197" s="73" t="s">
        <v>606</v>
      </c>
      <c r="C197" s="41" t="s">
        <v>39</v>
      </c>
      <c r="D197" s="41">
        <v>192.5</v>
      </c>
      <c r="E197" s="43">
        <v>100</v>
      </c>
      <c r="F197" s="88">
        <f t="shared" si="14"/>
        <v>19250</v>
      </c>
      <c r="G197" s="41">
        <v>880.18</v>
      </c>
      <c r="H197" s="36">
        <v>140</v>
      </c>
      <c r="I197" s="88">
        <f t="shared" si="15"/>
        <v>26950</v>
      </c>
      <c r="J197" s="46" t="s">
        <v>424</v>
      </c>
      <c r="K197" s="46" t="s">
        <v>418</v>
      </c>
      <c r="L197" s="64" t="s">
        <v>472</v>
      </c>
      <c r="M197" s="49" t="s">
        <v>504</v>
      </c>
    </row>
    <row r="198" ht="22.5" spans="1:13">
      <c r="A198" s="72" t="s">
        <v>98</v>
      </c>
      <c r="B198" s="73" t="s">
        <v>539</v>
      </c>
      <c r="C198" s="41" t="s">
        <v>145</v>
      </c>
      <c r="D198" s="41"/>
      <c r="E198" s="43"/>
      <c r="F198" s="88">
        <f t="shared" si="14"/>
        <v>0</v>
      </c>
      <c r="G198" s="41" t="s">
        <v>145</v>
      </c>
      <c r="H198" s="36"/>
      <c r="I198" s="88">
        <f t="shared" si="15"/>
        <v>0</v>
      </c>
      <c r="J198" s="46"/>
      <c r="K198" s="61"/>
      <c r="L198" s="61"/>
      <c r="M198" s="46"/>
    </row>
    <row r="199" ht="85.5" customHeight="1" spans="1:13">
      <c r="A199" s="72" t="s">
        <v>78</v>
      </c>
      <c r="B199" s="73" t="s">
        <v>540</v>
      </c>
      <c r="C199" s="41" t="s">
        <v>39</v>
      </c>
      <c r="D199" s="41">
        <v>148.2</v>
      </c>
      <c r="E199" s="43">
        <v>260</v>
      </c>
      <c r="F199" s="88">
        <f t="shared" si="14"/>
        <v>38532</v>
      </c>
      <c r="G199" s="41">
        <v>1081.31</v>
      </c>
      <c r="H199" s="36">
        <v>320</v>
      </c>
      <c r="I199" s="88">
        <f t="shared" si="15"/>
        <v>47424</v>
      </c>
      <c r="J199" s="46" t="s">
        <v>424</v>
      </c>
      <c r="K199" s="46" t="s">
        <v>418</v>
      </c>
      <c r="L199" s="64" t="s">
        <v>481</v>
      </c>
      <c r="M199" s="49" t="s">
        <v>544</v>
      </c>
    </row>
    <row r="200" ht="22.5" spans="1:13">
      <c r="A200" s="72" t="s">
        <v>56</v>
      </c>
      <c r="B200" s="73" t="s">
        <v>479</v>
      </c>
      <c r="C200" s="41" t="s">
        <v>145</v>
      </c>
      <c r="D200" s="41"/>
      <c r="E200" s="43"/>
      <c r="F200" s="88">
        <f t="shared" si="14"/>
        <v>0</v>
      </c>
      <c r="G200" s="41" t="s">
        <v>145</v>
      </c>
      <c r="H200" s="36"/>
      <c r="I200" s="88">
        <f t="shared" si="15"/>
        <v>0</v>
      </c>
      <c r="J200" s="46"/>
      <c r="K200" s="61"/>
      <c r="L200" s="61"/>
      <c r="M200" s="46"/>
    </row>
    <row r="201" ht="108" customHeight="1" spans="1:13">
      <c r="A201" s="72" t="s">
        <v>58</v>
      </c>
      <c r="B201" s="73" t="s">
        <v>506</v>
      </c>
      <c r="C201" s="41" t="s">
        <v>39</v>
      </c>
      <c r="D201" s="41">
        <v>29.36</v>
      </c>
      <c r="E201" s="43">
        <v>240</v>
      </c>
      <c r="F201" s="88">
        <f t="shared" si="14"/>
        <v>7046</v>
      </c>
      <c r="G201" s="41">
        <v>962.18</v>
      </c>
      <c r="H201" s="36">
        <v>200</v>
      </c>
      <c r="I201" s="88">
        <f t="shared" si="15"/>
        <v>5872</v>
      </c>
      <c r="J201" s="46" t="s">
        <v>424</v>
      </c>
      <c r="K201" s="46" t="s">
        <v>418</v>
      </c>
      <c r="L201" s="64" t="s">
        <v>481</v>
      </c>
      <c r="M201" s="49" t="s">
        <v>544</v>
      </c>
    </row>
    <row r="202" ht="45" spans="1:13">
      <c r="A202" s="72" t="s">
        <v>482</v>
      </c>
      <c r="B202" s="73" t="s">
        <v>483</v>
      </c>
      <c r="C202" s="41" t="s">
        <v>145</v>
      </c>
      <c r="D202" s="41"/>
      <c r="E202" s="43"/>
      <c r="F202" s="88">
        <f t="shared" si="14"/>
        <v>0</v>
      </c>
      <c r="G202" s="41" t="s">
        <v>145</v>
      </c>
      <c r="H202" s="36"/>
      <c r="I202" s="88">
        <f t="shared" si="15"/>
        <v>0</v>
      </c>
      <c r="J202" s="46"/>
      <c r="K202" s="61"/>
      <c r="L202" s="61"/>
      <c r="M202" s="46"/>
    </row>
    <row r="203" ht="22.5" spans="1:13">
      <c r="A203" s="72" t="s">
        <v>94</v>
      </c>
      <c r="B203" s="73" t="s">
        <v>484</v>
      </c>
      <c r="C203" s="41"/>
      <c r="D203" s="41"/>
      <c r="E203" s="43"/>
      <c r="F203" s="88">
        <f t="shared" si="14"/>
        <v>0</v>
      </c>
      <c r="G203" s="41"/>
      <c r="H203" s="36"/>
      <c r="I203" s="88">
        <f t="shared" si="15"/>
        <v>0</v>
      </c>
      <c r="J203" s="46"/>
      <c r="K203" s="61"/>
      <c r="L203" s="61"/>
      <c r="M203" s="46"/>
    </row>
    <row r="204" ht="102" customHeight="1" spans="1:13">
      <c r="A204" s="72" t="s">
        <v>37</v>
      </c>
      <c r="B204" s="73" t="s">
        <v>485</v>
      </c>
      <c r="C204" s="41" t="s">
        <v>39</v>
      </c>
      <c r="D204" s="41">
        <v>0.2</v>
      </c>
      <c r="E204" s="43">
        <v>255</v>
      </c>
      <c r="F204" s="88">
        <f t="shared" si="14"/>
        <v>51</v>
      </c>
      <c r="G204" s="41">
        <v>1298.69</v>
      </c>
      <c r="H204" s="36">
        <v>400</v>
      </c>
      <c r="I204" s="88">
        <f t="shared" si="15"/>
        <v>80</v>
      </c>
      <c r="J204" s="46" t="s">
        <v>424</v>
      </c>
      <c r="K204" s="46" t="s">
        <v>418</v>
      </c>
      <c r="L204" s="64" t="s">
        <v>607</v>
      </c>
      <c r="M204" s="49" t="s">
        <v>504</v>
      </c>
    </row>
    <row r="205" ht="22.5" spans="1:13">
      <c r="A205" s="72" t="s">
        <v>98</v>
      </c>
      <c r="B205" s="73" t="s">
        <v>552</v>
      </c>
      <c r="C205" s="41" t="s">
        <v>145</v>
      </c>
      <c r="D205" s="41"/>
      <c r="E205" s="43"/>
      <c r="F205" s="88">
        <f t="shared" si="14"/>
        <v>0</v>
      </c>
      <c r="G205" s="41" t="s">
        <v>145</v>
      </c>
      <c r="H205" s="36"/>
      <c r="I205" s="88">
        <f t="shared" si="15"/>
        <v>0</v>
      </c>
      <c r="J205" s="46"/>
      <c r="K205" s="61"/>
      <c r="L205" s="61"/>
      <c r="M205" s="46"/>
    </row>
    <row r="206" ht="105" customHeight="1" spans="1:13">
      <c r="A206" s="72" t="s">
        <v>289</v>
      </c>
      <c r="B206" s="73" t="s">
        <v>553</v>
      </c>
      <c r="C206" s="41" t="s">
        <v>39</v>
      </c>
      <c r="D206" s="41">
        <v>5.84</v>
      </c>
      <c r="E206" s="43">
        <v>200</v>
      </c>
      <c r="F206" s="88">
        <f t="shared" si="14"/>
        <v>1168</v>
      </c>
      <c r="G206" s="41">
        <v>830.05</v>
      </c>
      <c r="H206" s="48">
        <v>200</v>
      </c>
      <c r="I206" s="88">
        <f t="shared" si="15"/>
        <v>1168</v>
      </c>
      <c r="J206" s="46" t="s">
        <v>424</v>
      </c>
      <c r="K206" s="46" t="s">
        <v>418</v>
      </c>
      <c r="L206" s="64" t="s">
        <v>607</v>
      </c>
      <c r="M206" s="49" t="s">
        <v>504</v>
      </c>
    </row>
    <row r="207" ht="45" spans="1:13">
      <c r="A207" s="72">
        <v>411</v>
      </c>
      <c r="B207" s="73" t="s">
        <v>608</v>
      </c>
      <c r="C207" s="41"/>
      <c r="D207" s="41"/>
      <c r="E207" s="43"/>
      <c r="F207" s="88">
        <f t="shared" si="14"/>
        <v>0</v>
      </c>
      <c r="G207" s="41"/>
      <c r="H207" s="36"/>
      <c r="I207" s="88">
        <f t="shared" si="15"/>
        <v>0</v>
      </c>
      <c r="J207" s="46"/>
      <c r="K207" s="61"/>
      <c r="L207" s="61"/>
      <c r="M207" s="46"/>
    </row>
    <row r="208" ht="97.5" customHeight="1" spans="1:13">
      <c r="A208" s="72" t="s">
        <v>609</v>
      </c>
      <c r="B208" s="73" t="s">
        <v>610</v>
      </c>
      <c r="C208" s="41" t="s">
        <v>437</v>
      </c>
      <c r="D208" s="41">
        <v>4710</v>
      </c>
      <c r="E208" s="43">
        <v>1.9</v>
      </c>
      <c r="F208" s="88">
        <f t="shared" si="14"/>
        <v>8949</v>
      </c>
      <c r="G208" s="41">
        <v>10.24</v>
      </c>
      <c r="H208" s="36">
        <v>2.5</v>
      </c>
      <c r="I208" s="88">
        <f t="shared" si="15"/>
        <v>11775</v>
      </c>
      <c r="J208" s="46" t="s">
        <v>611</v>
      </c>
      <c r="K208" s="46" t="s">
        <v>418</v>
      </c>
      <c r="L208" s="46" t="s">
        <v>612</v>
      </c>
      <c r="M208" s="49" t="s">
        <v>613</v>
      </c>
    </row>
    <row r="209" ht="45" spans="1:13">
      <c r="A209" s="72" t="s">
        <v>614</v>
      </c>
      <c r="B209" s="73" t="s">
        <v>615</v>
      </c>
      <c r="C209" s="41"/>
      <c r="D209" s="41"/>
      <c r="E209" s="43"/>
      <c r="F209" s="88">
        <f t="shared" si="14"/>
        <v>0</v>
      </c>
      <c r="G209" s="41"/>
      <c r="H209" s="36"/>
      <c r="I209" s="88">
        <f t="shared" si="15"/>
        <v>0</v>
      </c>
      <c r="J209" s="46"/>
      <c r="K209" s="61"/>
      <c r="L209" s="61"/>
      <c r="M209" s="46"/>
    </row>
    <row r="210" ht="108.75" customHeight="1" spans="1:13">
      <c r="A210" s="72" t="s">
        <v>94</v>
      </c>
      <c r="B210" s="73" t="s">
        <v>616</v>
      </c>
      <c r="C210" s="41" t="s">
        <v>39</v>
      </c>
      <c r="D210" s="41">
        <v>175.4</v>
      </c>
      <c r="E210" s="98">
        <v>2200</v>
      </c>
      <c r="F210" s="88">
        <f t="shared" si="14"/>
        <v>385880</v>
      </c>
      <c r="G210" s="41">
        <v>3705.1</v>
      </c>
      <c r="H210" s="48">
        <v>2300</v>
      </c>
      <c r="I210" s="88">
        <f t="shared" si="15"/>
        <v>403420</v>
      </c>
      <c r="J210" s="46" t="s">
        <v>617</v>
      </c>
      <c r="K210" s="46" t="s">
        <v>418</v>
      </c>
      <c r="L210" s="126" t="s">
        <v>618</v>
      </c>
      <c r="M210" s="49" t="s">
        <v>619</v>
      </c>
    </row>
    <row r="211" ht="22.5" spans="1:13">
      <c r="A211" s="72" t="s">
        <v>554</v>
      </c>
      <c r="B211" s="73" t="s">
        <v>555</v>
      </c>
      <c r="C211" s="41" t="s">
        <v>145</v>
      </c>
      <c r="D211" s="41"/>
      <c r="E211" s="43"/>
      <c r="F211" s="88">
        <f t="shared" si="14"/>
        <v>0</v>
      </c>
      <c r="G211" s="41" t="s">
        <v>145</v>
      </c>
      <c r="H211" s="36"/>
      <c r="I211" s="88">
        <f t="shared" si="15"/>
        <v>0</v>
      </c>
      <c r="J211" s="46"/>
      <c r="K211" s="61"/>
      <c r="L211" s="61"/>
      <c r="M211" s="46"/>
    </row>
    <row r="212" ht="45" spans="1:13">
      <c r="A212" s="72" t="s">
        <v>556</v>
      </c>
      <c r="B212" s="73" t="s">
        <v>557</v>
      </c>
      <c r="C212" s="41" t="s">
        <v>145</v>
      </c>
      <c r="D212" s="41"/>
      <c r="E212" s="43"/>
      <c r="F212" s="88">
        <f t="shared" si="14"/>
        <v>0</v>
      </c>
      <c r="G212" s="41" t="s">
        <v>145</v>
      </c>
      <c r="H212" s="36"/>
      <c r="I212" s="88">
        <f t="shared" si="15"/>
        <v>0</v>
      </c>
      <c r="J212" s="46"/>
      <c r="K212" s="61"/>
      <c r="L212" s="61"/>
      <c r="M212" s="46"/>
    </row>
    <row r="213" ht="86.25" customHeight="1" spans="1:13">
      <c r="A213" s="72" t="s">
        <v>94</v>
      </c>
      <c r="B213" s="73" t="s">
        <v>620</v>
      </c>
      <c r="C213" s="41" t="s">
        <v>39</v>
      </c>
      <c r="D213" s="41">
        <v>30.1</v>
      </c>
      <c r="E213" s="43">
        <v>125</v>
      </c>
      <c r="F213" s="88">
        <f t="shared" si="14"/>
        <v>3763</v>
      </c>
      <c r="G213" s="41">
        <v>776.71</v>
      </c>
      <c r="H213" s="36">
        <v>125</v>
      </c>
      <c r="I213" s="88">
        <f t="shared" si="15"/>
        <v>3763</v>
      </c>
      <c r="J213" s="46" t="s">
        <v>424</v>
      </c>
      <c r="K213" s="46" t="s">
        <v>418</v>
      </c>
      <c r="L213" s="46" t="s">
        <v>621</v>
      </c>
      <c r="M213" s="46"/>
    </row>
    <row r="214" ht="22.5" spans="1:13">
      <c r="A214" s="72" t="s">
        <v>561</v>
      </c>
      <c r="B214" s="73" t="s">
        <v>562</v>
      </c>
      <c r="C214" s="41" t="s">
        <v>145</v>
      </c>
      <c r="D214" s="41"/>
      <c r="E214" s="43"/>
      <c r="F214" s="88">
        <f t="shared" si="14"/>
        <v>0</v>
      </c>
      <c r="G214" s="41" t="s">
        <v>145</v>
      </c>
      <c r="H214" s="36"/>
      <c r="I214" s="88">
        <f t="shared" si="15"/>
        <v>0</v>
      </c>
      <c r="J214" s="46"/>
      <c r="K214" s="61"/>
      <c r="L214" s="61"/>
      <c r="M214" s="46"/>
    </row>
    <row r="215" ht="86.25" customHeight="1" spans="1:13">
      <c r="A215" s="72" t="s">
        <v>98</v>
      </c>
      <c r="B215" s="73" t="s">
        <v>563</v>
      </c>
      <c r="C215" s="41" t="s">
        <v>48</v>
      </c>
      <c r="D215" s="41">
        <v>301</v>
      </c>
      <c r="E215" s="43">
        <v>2</v>
      </c>
      <c r="F215" s="88">
        <f t="shared" si="14"/>
        <v>602</v>
      </c>
      <c r="G215" s="41">
        <v>21.78</v>
      </c>
      <c r="H215" s="36">
        <v>2</v>
      </c>
      <c r="I215" s="88">
        <f t="shared" si="15"/>
        <v>602</v>
      </c>
      <c r="J215" s="46" t="s">
        <v>564</v>
      </c>
      <c r="K215" s="46" t="s">
        <v>418</v>
      </c>
      <c r="L215" s="126" t="s">
        <v>622</v>
      </c>
      <c r="M215" s="46"/>
    </row>
    <row r="216" ht="22.5" spans="1:13">
      <c r="A216" s="72" t="s">
        <v>567</v>
      </c>
      <c r="B216" s="73" t="s">
        <v>568</v>
      </c>
      <c r="C216" s="41" t="s">
        <v>145</v>
      </c>
      <c r="D216" s="41"/>
      <c r="E216" s="43"/>
      <c r="F216" s="88">
        <f t="shared" si="14"/>
        <v>0</v>
      </c>
      <c r="G216" s="41" t="s">
        <v>145</v>
      </c>
      <c r="H216" s="36"/>
      <c r="I216" s="88">
        <f t="shared" si="15"/>
        <v>0</v>
      </c>
      <c r="J216" s="46"/>
      <c r="K216" s="61"/>
      <c r="L216" s="61"/>
      <c r="M216" s="46"/>
    </row>
    <row r="217" ht="45" spans="1:13">
      <c r="A217" s="72" t="s">
        <v>94</v>
      </c>
      <c r="B217" s="73" t="s">
        <v>569</v>
      </c>
      <c r="C217" s="41" t="s">
        <v>145</v>
      </c>
      <c r="D217" s="41"/>
      <c r="E217" s="43"/>
      <c r="F217" s="88">
        <f t="shared" si="14"/>
        <v>0</v>
      </c>
      <c r="G217" s="41" t="s">
        <v>145</v>
      </c>
      <c r="H217" s="36"/>
      <c r="I217" s="88">
        <f t="shared" si="15"/>
        <v>0</v>
      </c>
      <c r="J217" s="46"/>
      <c r="K217" s="61"/>
      <c r="L217" s="61"/>
      <c r="M217" s="46"/>
    </row>
    <row r="218" ht="90.75" customHeight="1" spans="1:13">
      <c r="A218" s="72" t="s">
        <v>46</v>
      </c>
      <c r="B218" s="73" t="s">
        <v>574</v>
      </c>
      <c r="C218" s="41" t="s">
        <v>85</v>
      </c>
      <c r="D218" s="41">
        <v>86</v>
      </c>
      <c r="E218" s="43">
        <v>25</v>
      </c>
      <c r="F218" s="88">
        <f t="shared" ref="F218:F225" si="16">ROUND(E218*D218,0)</f>
        <v>2150</v>
      </c>
      <c r="G218" s="41">
        <v>31.47</v>
      </c>
      <c r="H218" s="48">
        <v>8</v>
      </c>
      <c r="I218" s="88">
        <f t="shared" ref="I218:I225" si="17">ROUND(D218*H218,0)</f>
        <v>688</v>
      </c>
      <c r="J218" s="49" t="s">
        <v>591</v>
      </c>
      <c r="K218" s="46" t="s">
        <v>418</v>
      </c>
      <c r="L218" s="46" t="s">
        <v>573</v>
      </c>
      <c r="M218" s="46"/>
    </row>
    <row r="219" ht="54.75" customHeight="1" spans="1:13">
      <c r="A219" s="72" t="s">
        <v>576</v>
      </c>
      <c r="B219" s="73" t="s">
        <v>577</v>
      </c>
      <c r="C219" s="41" t="s">
        <v>145</v>
      </c>
      <c r="D219" s="41"/>
      <c r="E219" s="43"/>
      <c r="F219" s="88">
        <f t="shared" si="16"/>
        <v>0</v>
      </c>
      <c r="G219" s="41" t="s">
        <v>145</v>
      </c>
      <c r="H219" s="36"/>
      <c r="I219" s="88">
        <f t="shared" si="17"/>
        <v>0</v>
      </c>
      <c r="J219" s="46"/>
      <c r="K219" s="61"/>
      <c r="L219" s="61"/>
      <c r="M219" s="46"/>
    </row>
    <row r="220" ht="94.5" customHeight="1" spans="1:13">
      <c r="A220" s="72" t="s">
        <v>578</v>
      </c>
      <c r="B220" s="73" t="s">
        <v>623</v>
      </c>
      <c r="C220" s="41" t="s">
        <v>393</v>
      </c>
      <c r="D220" s="41">
        <v>4</v>
      </c>
      <c r="E220" s="43">
        <v>50</v>
      </c>
      <c r="F220" s="88">
        <f t="shared" si="16"/>
        <v>200</v>
      </c>
      <c r="G220" s="41">
        <v>96.63</v>
      </c>
      <c r="H220" s="127">
        <v>20</v>
      </c>
      <c r="I220" s="88">
        <f t="shared" si="17"/>
        <v>80</v>
      </c>
      <c r="J220" s="46" t="s">
        <v>581</v>
      </c>
      <c r="K220" s="46" t="s">
        <v>418</v>
      </c>
      <c r="L220" s="126" t="s">
        <v>583</v>
      </c>
      <c r="M220" s="46"/>
    </row>
    <row r="221" ht="100.5" customHeight="1" spans="1:13">
      <c r="A221" s="72" t="s">
        <v>584</v>
      </c>
      <c r="B221" s="73" t="s">
        <v>585</v>
      </c>
      <c r="C221" s="41" t="s">
        <v>85</v>
      </c>
      <c r="D221" s="41">
        <v>172</v>
      </c>
      <c r="E221" s="43">
        <v>100</v>
      </c>
      <c r="F221" s="88">
        <f t="shared" si="16"/>
        <v>17200</v>
      </c>
      <c r="G221" s="41">
        <v>128.85</v>
      </c>
      <c r="H221" s="36">
        <v>10</v>
      </c>
      <c r="I221" s="88">
        <f t="shared" si="17"/>
        <v>1720</v>
      </c>
      <c r="J221" s="46" t="s">
        <v>624</v>
      </c>
      <c r="K221" s="46" t="s">
        <v>418</v>
      </c>
      <c r="L221" s="128" t="s">
        <v>625</v>
      </c>
      <c r="M221" s="46"/>
    </row>
    <row r="222" ht="84.75" customHeight="1" spans="1:13">
      <c r="A222" s="72">
        <v>432</v>
      </c>
      <c r="B222" s="73" t="s">
        <v>626</v>
      </c>
      <c r="C222" s="41" t="s">
        <v>39</v>
      </c>
      <c r="D222" s="41">
        <v>4.62</v>
      </c>
      <c r="E222" s="43">
        <v>240</v>
      </c>
      <c r="F222" s="88">
        <f t="shared" si="16"/>
        <v>1109</v>
      </c>
      <c r="G222" s="41">
        <v>821.57</v>
      </c>
      <c r="H222" s="36">
        <v>240</v>
      </c>
      <c r="I222" s="88">
        <f t="shared" si="17"/>
        <v>1109</v>
      </c>
      <c r="J222" s="46" t="s">
        <v>424</v>
      </c>
      <c r="K222" s="46" t="s">
        <v>418</v>
      </c>
      <c r="L222" s="46" t="s">
        <v>627</v>
      </c>
      <c r="M222" s="46"/>
    </row>
    <row r="223" ht="82.5" customHeight="1" spans="1:13">
      <c r="A223" s="72">
        <v>433</v>
      </c>
      <c r="B223" s="73" t="s">
        <v>628</v>
      </c>
      <c r="C223" s="41" t="s">
        <v>39</v>
      </c>
      <c r="D223" s="41">
        <v>49.45</v>
      </c>
      <c r="E223" s="43">
        <v>240</v>
      </c>
      <c r="F223" s="88">
        <f t="shared" si="16"/>
        <v>11868</v>
      </c>
      <c r="G223" s="41">
        <v>1788.72</v>
      </c>
      <c r="H223" s="36">
        <v>240</v>
      </c>
      <c r="I223" s="88">
        <f t="shared" si="17"/>
        <v>11868</v>
      </c>
      <c r="J223" s="46" t="s">
        <v>424</v>
      </c>
      <c r="K223" s="46" t="s">
        <v>418</v>
      </c>
      <c r="L223" s="46" t="s">
        <v>627</v>
      </c>
      <c r="M223" s="46"/>
    </row>
    <row r="224" ht="97.5" customHeight="1" spans="1:13">
      <c r="A224" s="72" t="s">
        <v>589</v>
      </c>
      <c r="B224" s="73" t="s">
        <v>590</v>
      </c>
      <c r="C224" s="41" t="s">
        <v>39</v>
      </c>
      <c r="D224" s="41">
        <v>22.4</v>
      </c>
      <c r="E224" s="43">
        <v>300</v>
      </c>
      <c r="F224" s="88">
        <f t="shared" si="16"/>
        <v>6720</v>
      </c>
      <c r="G224" s="41">
        <v>493.23</v>
      </c>
      <c r="H224" s="129">
        <v>240</v>
      </c>
      <c r="I224" s="88">
        <f t="shared" si="17"/>
        <v>5376</v>
      </c>
      <c r="J224" s="49" t="s">
        <v>591</v>
      </c>
      <c r="K224" s="46" t="s">
        <v>418</v>
      </c>
      <c r="L224" s="130" t="s">
        <v>592</v>
      </c>
      <c r="M224" s="49" t="s">
        <v>593</v>
      </c>
    </row>
    <row r="225" ht="67.5" spans="1:35">
      <c r="A225" s="72">
        <v>435</v>
      </c>
      <c r="B225" s="73" t="s">
        <v>629</v>
      </c>
      <c r="C225" s="41" t="s">
        <v>85</v>
      </c>
      <c r="D225" s="41">
        <v>10</v>
      </c>
      <c r="E225" s="43">
        <v>65</v>
      </c>
      <c r="F225" s="88">
        <f t="shared" si="16"/>
        <v>650</v>
      </c>
      <c r="G225" s="41">
        <v>91.82</v>
      </c>
      <c r="H225" s="36">
        <v>65</v>
      </c>
      <c r="I225" s="88">
        <f t="shared" si="17"/>
        <v>650</v>
      </c>
      <c r="J225" s="46" t="s">
        <v>25</v>
      </c>
      <c r="K225" s="46" t="s">
        <v>418</v>
      </c>
      <c r="L225" s="58" t="s">
        <v>630</v>
      </c>
      <c r="M225" s="46"/>
    </row>
    <row r="226" ht="24" customHeight="1" spans="1:35">
      <c r="A226" s="72" t="s">
        <v>631</v>
      </c>
      <c r="B226" s="42" t="s">
        <v>632</v>
      </c>
      <c r="C226" s="41"/>
      <c r="D226" s="131"/>
      <c r="E226" s="92"/>
      <c r="F226" s="88"/>
      <c r="G226" s="94"/>
      <c r="H226" s="36"/>
      <c r="I226" s="88"/>
      <c r="J226" s="46"/>
      <c r="K226" s="46"/>
      <c r="L226" s="46"/>
      <c r="M226" s="46"/>
    </row>
    <row r="227" ht="120" customHeight="1" spans="1:35">
      <c r="A227" s="102" t="s">
        <v>37</v>
      </c>
      <c r="B227" s="87" t="s">
        <v>633</v>
      </c>
      <c r="C227" s="96" t="s">
        <v>85</v>
      </c>
      <c r="D227" s="132">
        <v>36</v>
      </c>
      <c r="E227" s="133"/>
      <c r="F227" s="99"/>
      <c r="G227" s="100">
        <v>120250</v>
      </c>
      <c r="H227" s="48">
        <v>19914</v>
      </c>
      <c r="I227" s="99">
        <f>ROUND(D227*H227,0)</f>
        <v>716904</v>
      </c>
      <c r="J227" s="49" t="s">
        <v>634</v>
      </c>
      <c r="K227" s="49" t="s">
        <v>635</v>
      </c>
      <c r="L227" s="49" t="s">
        <v>636</v>
      </c>
      <c r="M227" s="46"/>
    </row>
    <row r="228" ht="128.25" hidden="1" customHeight="1" spans="1:35">
      <c r="A228" s="102"/>
      <c r="B228" s="42" t="s">
        <v>637</v>
      </c>
      <c r="C228" s="41" t="s">
        <v>39</v>
      </c>
      <c r="D228" s="93">
        <v>453.7</v>
      </c>
      <c r="E228" s="43">
        <v>110</v>
      </c>
      <c r="F228" s="88">
        <f t="shared" ref="F228:F237" si="18">ROUND(E228*D228,0)</f>
        <v>49907</v>
      </c>
      <c r="G228" s="41">
        <v>880.18</v>
      </c>
      <c r="H228" s="36">
        <v>140</v>
      </c>
      <c r="I228" s="88"/>
      <c r="J228" s="46" t="s">
        <v>424</v>
      </c>
      <c r="K228" s="46" t="s">
        <v>418</v>
      </c>
      <c r="L228" s="46" t="s">
        <v>638</v>
      </c>
      <c r="M228" s="46"/>
    </row>
    <row r="229" ht="67.5" hidden="1" spans="1:35">
      <c r="A229" s="102"/>
      <c r="B229" s="42" t="s">
        <v>639</v>
      </c>
      <c r="C229" s="41" t="s">
        <v>39</v>
      </c>
      <c r="D229" s="93">
        <v>1144.4</v>
      </c>
      <c r="E229" s="43">
        <v>100</v>
      </c>
      <c r="F229" s="88">
        <f t="shared" si="18"/>
        <v>114440</v>
      </c>
      <c r="G229" s="41">
        <v>880.18</v>
      </c>
      <c r="H229" s="36">
        <v>180</v>
      </c>
      <c r="I229" s="88"/>
      <c r="J229" s="46" t="s">
        <v>424</v>
      </c>
      <c r="K229" s="46" t="s">
        <v>418</v>
      </c>
      <c r="L229" s="46" t="s">
        <v>640</v>
      </c>
      <c r="M229" s="46"/>
    </row>
    <row r="230" ht="105.75" hidden="1" customHeight="1" spans="1:35">
      <c r="A230" s="102"/>
      <c r="B230" s="42" t="s">
        <v>641</v>
      </c>
      <c r="C230" s="41" t="s">
        <v>39</v>
      </c>
      <c r="D230" s="93">
        <v>2.3</v>
      </c>
      <c r="E230" s="43">
        <v>130</v>
      </c>
      <c r="F230" s="88">
        <f t="shared" si="18"/>
        <v>299</v>
      </c>
      <c r="G230" s="41">
        <v>880.18</v>
      </c>
      <c r="H230" s="36">
        <v>200</v>
      </c>
      <c r="I230" s="88"/>
      <c r="J230" s="46" t="s">
        <v>424</v>
      </c>
      <c r="K230" s="46" t="s">
        <v>418</v>
      </c>
      <c r="L230" s="46" t="s">
        <v>640</v>
      </c>
      <c r="M230" s="46"/>
    </row>
    <row r="231" ht="103.5" hidden="1" customHeight="1" spans="1:35">
      <c r="A231" s="102"/>
      <c r="B231" s="42" t="s">
        <v>642</v>
      </c>
      <c r="C231" s="41" t="s">
        <v>437</v>
      </c>
      <c r="D231" s="93">
        <v>485569</v>
      </c>
      <c r="E231" s="43">
        <v>130</v>
      </c>
      <c r="F231" s="88">
        <f t="shared" si="18"/>
        <v>63123970</v>
      </c>
      <c r="G231" s="41">
        <v>880.18</v>
      </c>
      <c r="H231" s="36">
        <v>0.7</v>
      </c>
      <c r="I231" s="88"/>
      <c r="J231" s="46" t="s">
        <v>518</v>
      </c>
      <c r="K231" s="46" t="s">
        <v>418</v>
      </c>
      <c r="L231" s="46" t="s">
        <v>643</v>
      </c>
      <c r="M231" s="46"/>
    </row>
    <row r="232" ht="167.25" hidden="1" customHeight="1" spans="1:35">
      <c r="A232" s="102"/>
      <c r="B232" s="42" t="s">
        <v>644</v>
      </c>
      <c r="C232" s="41" t="s">
        <v>39</v>
      </c>
      <c r="D232" s="93">
        <v>257.5</v>
      </c>
      <c r="E232" s="43">
        <v>180</v>
      </c>
      <c r="F232" s="88">
        <f t="shared" si="18"/>
        <v>46350</v>
      </c>
      <c r="G232" s="41">
        <v>962.18</v>
      </c>
      <c r="H232" s="36">
        <v>350</v>
      </c>
      <c r="I232" s="88"/>
      <c r="J232" s="46" t="s">
        <v>25</v>
      </c>
      <c r="K232" s="46" t="s">
        <v>418</v>
      </c>
      <c r="L232" s="46" t="s">
        <v>645</v>
      </c>
      <c r="M232" s="46"/>
    </row>
    <row r="233" ht="216.75" hidden="1" customHeight="1" spans="1:35">
      <c r="A233" s="102"/>
      <c r="B233" s="42" t="s">
        <v>646</v>
      </c>
      <c r="C233" s="41" t="s">
        <v>39</v>
      </c>
      <c r="D233" s="93">
        <v>48.4</v>
      </c>
      <c r="E233" s="43">
        <v>0.68</v>
      </c>
      <c r="F233" s="88">
        <f t="shared" si="18"/>
        <v>33</v>
      </c>
      <c r="G233" s="94">
        <v>6.23</v>
      </c>
      <c r="H233" s="36">
        <v>350</v>
      </c>
      <c r="I233" s="88"/>
      <c r="J233" s="46" t="s">
        <v>25</v>
      </c>
      <c r="K233" s="46" t="s">
        <v>418</v>
      </c>
      <c r="L233" s="46" t="s">
        <v>645</v>
      </c>
      <c r="M233" s="46"/>
    </row>
    <row r="234" ht="99" customHeight="1" spans="1:35">
      <c r="A234" s="102" t="s">
        <v>43</v>
      </c>
      <c r="B234" s="87" t="s">
        <v>451</v>
      </c>
      <c r="C234" s="96" t="s">
        <v>39</v>
      </c>
      <c r="D234" s="48">
        <v>1727.2</v>
      </c>
      <c r="E234" s="98">
        <v>7</v>
      </c>
      <c r="F234" s="99">
        <f t="shared" si="18"/>
        <v>12090</v>
      </c>
      <c r="G234" s="101"/>
      <c r="H234" s="48">
        <v>12</v>
      </c>
      <c r="I234" s="99">
        <f t="shared" ref="I234:I239" si="19">ROUND(D234*H234,0)</f>
        <v>20726</v>
      </c>
      <c r="J234" s="49" t="s">
        <v>25</v>
      </c>
      <c r="K234" s="49" t="s">
        <v>418</v>
      </c>
      <c r="L234" s="49" t="s">
        <v>636</v>
      </c>
      <c r="M234" s="46"/>
    </row>
    <row r="235" ht="99" customHeight="1" spans="1:35">
      <c r="A235" s="102" t="s">
        <v>46</v>
      </c>
      <c r="B235" s="87" t="s">
        <v>454</v>
      </c>
      <c r="C235" s="96" t="s">
        <v>39</v>
      </c>
      <c r="D235" s="48">
        <v>673.3</v>
      </c>
      <c r="E235" s="98">
        <v>18</v>
      </c>
      <c r="F235" s="99">
        <f t="shared" si="18"/>
        <v>12119</v>
      </c>
      <c r="G235" s="101"/>
      <c r="H235" s="48">
        <v>35</v>
      </c>
      <c r="I235" s="99">
        <f t="shared" si="19"/>
        <v>23566</v>
      </c>
      <c r="J235" s="49" t="s">
        <v>25</v>
      </c>
      <c r="K235" s="49" t="s">
        <v>418</v>
      </c>
      <c r="L235" s="49" t="s">
        <v>636</v>
      </c>
      <c r="M235" s="46"/>
    </row>
    <row r="236" ht="99" customHeight="1" spans="1:35">
      <c r="A236" s="102" t="s">
        <v>275</v>
      </c>
      <c r="B236" s="87" t="s">
        <v>647</v>
      </c>
      <c r="C236" s="96" t="s">
        <v>39</v>
      </c>
      <c r="D236" s="97">
        <v>3099</v>
      </c>
      <c r="E236" s="98">
        <v>7</v>
      </c>
      <c r="F236" s="99">
        <f t="shared" si="18"/>
        <v>21693</v>
      </c>
      <c r="G236" s="101"/>
      <c r="H236" s="48">
        <v>12</v>
      </c>
      <c r="I236" s="99">
        <f t="shared" si="19"/>
        <v>37188</v>
      </c>
      <c r="J236" s="49" t="s">
        <v>25</v>
      </c>
      <c r="K236" s="49" t="s">
        <v>418</v>
      </c>
      <c r="L236" s="49" t="s">
        <v>636</v>
      </c>
      <c r="M236" s="46"/>
    </row>
    <row r="237" ht="99" customHeight="1" spans="1:35">
      <c r="A237" s="102" t="s">
        <v>278</v>
      </c>
      <c r="B237" s="87" t="s">
        <v>648</v>
      </c>
      <c r="C237" s="96" t="s">
        <v>39</v>
      </c>
      <c r="D237" s="97">
        <v>1898</v>
      </c>
      <c r="E237" s="98">
        <v>18</v>
      </c>
      <c r="F237" s="99">
        <f t="shared" si="18"/>
        <v>34164</v>
      </c>
      <c r="G237" s="101"/>
      <c r="H237" s="48">
        <v>35</v>
      </c>
      <c r="I237" s="99">
        <f t="shared" si="19"/>
        <v>66430</v>
      </c>
      <c r="J237" s="49" t="s">
        <v>25</v>
      </c>
      <c r="K237" s="49" t="s">
        <v>418</v>
      </c>
      <c r="L237" s="49" t="s">
        <v>636</v>
      </c>
      <c r="M237" s="46"/>
    </row>
    <row r="238" ht="80.25" customHeight="1" spans="1:35">
      <c r="A238" s="72" t="s">
        <v>649</v>
      </c>
      <c r="B238" s="42" t="s">
        <v>650</v>
      </c>
      <c r="C238" s="41"/>
      <c r="D238" s="93"/>
      <c r="E238" s="43"/>
      <c r="F238" s="88"/>
      <c r="G238" s="94"/>
      <c r="H238" s="36"/>
      <c r="I238" s="88">
        <f t="shared" si="19"/>
        <v>0</v>
      </c>
      <c r="J238" s="46"/>
      <c r="K238" s="46"/>
      <c r="L238" s="46"/>
      <c r="M238" s="46"/>
      <c r="AI238" s="134"/>
    </row>
    <row r="239" ht="125.25" customHeight="1" spans="1:35">
      <c r="A239" s="95" t="s">
        <v>37</v>
      </c>
      <c r="B239" s="87" t="s">
        <v>651</v>
      </c>
      <c r="C239" s="96" t="s">
        <v>85</v>
      </c>
      <c r="D239" s="97">
        <v>101.98</v>
      </c>
      <c r="E239" s="98"/>
      <c r="F239" s="99"/>
      <c r="G239" s="101">
        <v>10655</v>
      </c>
      <c r="H239" s="48">
        <f>1115.98+185.53</f>
        <v>1301.51</v>
      </c>
      <c r="I239" s="99">
        <f t="shared" si="19"/>
        <v>132728</v>
      </c>
      <c r="J239" s="49" t="s">
        <v>634</v>
      </c>
      <c r="K239" s="49" t="s">
        <v>635</v>
      </c>
      <c r="L239" s="49" t="s">
        <v>636</v>
      </c>
      <c r="M239" s="46"/>
      <c r="AI239" s="134"/>
    </row>
    <row r="240" ht="45" hidden="1" customHeight="1" spans="1:35">
      <c r="A240" s="95"/>
      <c r="B240" s="42" t="s">
        <v>652</v>
      </c>
      <c r="C240" s="41" t="s">
        <v>39</v>
      </c>
      <c r="D240" s="97">
        <v>61.38</v>
      </c>
      <c r="E240" s="98"/>
      <c r="F240" s="99"/>
      <c r="G240" s="101"/>
      <c r="H240" s="36">
        <v>100</v>
      </c>
      <c r="I240" s="99"/>
      <c r="J240" s="46" t="s">
        <v>424</v>
      </c>
      <c r="K240" s="46" t="s">
        <v>418</v>
      </c>
      <c r="L240" s="46" t="s">
        <v>627</v>
      </c>
      <c r="M240" s="46"/>
      <c r="AI240" s="134"/>
    </row>
    <row r="241" ht="45" hidden="1" customHeight="1" spans="1:35">
      <c r="A241" s="95"/>
      <c r="B241" s="42" t="s">
        <v>653</v>
      </c>
      <c r="C241" s="41" t="s">
        <v>39</v>
      </c>
      <c r="D241" s="97">
        <v>157.23</v>
      </c>
      <c r="E241" s="98"/>
      <c r="F241" s="99"/>
      <c r="G241" s="101"/>
      <c r="H241" s="36">
        <v>140</v>
      </c>
      <c r="I241" s="99"/>
      <c r="J241" s="46" t="s">
        <v>424</v>
      </c>
      <c r="K241" s="46" t="s">
        <v>418</v>
      </c>
      <c r="L241" s="46" t="s">
        <v>638</v>
      </c>
      <c r="M241" s="46"/>
      <c r="AI241" s="134"/>
    </row>
    <row r="242" ht="45" hidden="1" customHeight="1" spans="1:35">
      <c r="A242" s="95"/>
      <c r="B242" s="42" t="s">
        <v>654</v>
      </c>
      <c r="C242" s="41" t="s">
        <v>39</v>
      </c>
      <c r="D242" s="97">
        <v>209.05</v>
      </c>
      <c r="E242" s="98"/>
      <c r="F242" s="99"/>
      <c r="G242" s="101"/>
      <c r="H242" s="36">
        <v>180</v>
      </c>
      <c r="I242" s="99"/>
      <c r="J242" s="46" t="s">
        <v>424</v>
      </c>
      <c r="K242" s="46" t="s">
        <v>418</v>
      </c>
      <c r="L242" s="46" t="s">
        <v>640</v>
      </c>
      <c r="M242" s="46"/>
      <c r="AI242" s="134"/>
    </row>
    <row r="243" ht="45" hidden="1" customHeight="1" spans="1:35">
      <c r="A243" s="95"/>
      <c r="B243" s="42" t="s">
        <v>655</v>
      </c>
      <c r="C243" s="41" t="s">
        <v>39</v>
      </c>
      <c r="D243" s="97">
        <v>2.16</v>
      </c>
      <c r="E243" s="98"/>
      <c r="F243" s="99"/>
      <c r="G243" s="101"/>
      <c r="H243" s="36">
        <v>200</v>
      </c>
      <c r="I243" s="99"/>
      <c r="J243" s="46" t="s">
        <v>424</v>
      </c>
      <c r="K243" s="46" t="s">
        <v>418</v>
      </c>
      <c r="L243" s="46" t="s">
        <v>640</v>
      </c>
      <c r="M243" s="46"/>
      <c r="AI243" s="134"/>
    </row>
    <row r="244" ht="45" hidden="1" customHeight="1" spans="1:35">
      <c r="A244" s="95"/>
      <c r="B244" s="42" t="s">
        <v>656</v>
      </c>
      <c r="C244" s="41" t="s">
        <v>39</v>
      </c>
      <c r="D244" s="97">
        <v>48.9</v>
      </c>
      <c r="E244" s="98"/>
      <c r="F244" s="99"/>
      <c r="G244" s="101"/>
      <c r="H244" s="36">
        <v>350</v>
      </c>
      <c r="I244" s="99"/>
      <c r="J244" s="46" t="s">
        <v>424</v>
      </c>
      <c r="K244" s="46" t="s">
        <v>418</v>
      </c>
      <c r="L244" s="46" t="s">
        <v>640</v>
      </c>
      <c r="M244" s="46"/>
      <c r="AI244" s="134"/>
    </row>
    <row r="245" ht="45" hidden="1" customHeight="1" spans="1:35">
      <c r="A245" s="95"/>
      <c r="B245" s="42" t="s">
        <v>657</v>
      </c>
      <c r="C245" s="41" t="s">
        <v>437</v>
      </c>
      <c r="D245" s="97">
        <v>9870.9</v>
      </c>
      <c r="E245" s="98"/>
      <c r="F245" s="99"/>
      <c r="G245" s="101"/>
      <c r="H245" s="36">
        <v>0.7</v>
      </c>
      <c r="I245" s="99"/>
      <c r="J245" s="46" t="s">
        <v>518</v>
      </c>
      <c r="K245" s="46" t="s">
        <v>418</v>
      </c>
      <c r="L245" s="46" t="s">
        <v>643</v>
      </c>
      <c r="M245" s="46"/>
      <c r="AI245" s="134"/>
    </row>
    <row r="246" ht="45" hidden="1" customHeight="1" spans="1:35">
      <c r="A246" s="95"/>
      <c r="B246" s="42" t="s">
        <v>658</v>
      </c>
      <c r="C246" s="41" t="s">
        <v>39</v>
      </c>
      <c r="D246" s="97">
        <v>21.13</v>
      </c>
      <c r="E246" s="98"/>
      <c r="F246" s="99"/>
      <c r="G246" s="101"/>
      <c r="H246" s="36">
        <v>350</v>
      </c>
      <c r="I246" s="99"/>
      <c r="J246" s="46" t="s">
        <v>424</v>
      </c>
      <c r="K246" s="46" t="s">
        <v>418</v>
      </c>
      <c r="L246" s="46" t="s">
        <v>640</v>
      </c>
      <c r="M246" s="46"/>
      <c r="AI246" s="134"/>
    </row>
    <row r="247" ht="45" hidden="1" customHeight="1" spans="1:35">
      <c r="A247" s="95"/>
      <c r="B247" s="42" t="s">
        <v>659</v>
      </c>
      <c r="C247" s="41" t="s">
        <v>39</v>
      </c>
      <c r="D247" s="97">
        <v>80.88</v>
      </c>
      <c r="E247" s="98"/>
      <c r="F247" s="99"/>
      <c r="G247" s="101"/>
      <c r="H247" s="36">
        <v>200</v>
      </c>
      <c r="I247" s="99"/>
      <c r="J247" s="46" t="s">
        <v>424</v>
      </c>
      <c r="K247" s="46" t="s">
        <v>418</v>
      </c>
      <c r="L247" s="46" t="s">
        <v>627</v>
      </c>
      <c r="M247" s="46"/>
      <c r="AI247" s="134"/>
    </row>
    <row r="248" ht="45" hidden="1" customHeight="1" spans="1:35">
      <c r="A248" s="95"/>
      <c r="B248" s="87" t="s">
        <v>660</v>
      </c>
      <c r="C248" s="96" t="s">
        <v>39</v>
      </c>
      <c r="D248" s="97">
        <v>1235.5</v>
      </c>
      <c r="E248" s="98"/>
      <c r="F248" s="99"/>
      <c r="G248" s="101"/>
      <c r="H248" s="48">
        <v>15</v>
      </c>
      <c r="I248" s="99"/>
      <c r="J248" s="49" t="s">
        <v>25</v>
      </c>
      <c r="K248" s="49" t="s">
        <v>418</v>
      </c>
      <c r="L248" s="49" t="s">
        <v>636</v>
      </c>
      <c r="M248" s="46"/>
      <c r="AI248" s="134"/>
    </row>
    <row r="249" ht="80.25" customHeight="1" spans="1:35">
      <c r="A249" s="102" t="s">
        <v>43</v>
      </c>
      <c r="B249" s="87" t="s">
        <v>661</v>
      </c>
      <c r="C249" s="96" t="s">
        <v>39</v>
      </c>
      <c r="D249" s="97">
        <v>607.5</v>
      </c>
      <c r="E249" s="98"/>
      <c r="F249" s="99"/>
      <c r="G249" s="101"/>
      <c r="H249" s="48">
        <v>20</v>
      </c>
      <c r="I249" s="99">
        <f>ROUND(D249*H249,0)</f>
        <v>12150</v>
      </c>
      <c r="J249" s="49" t="s">
        <v>25</v>
      </c>
      <c r="K249" s="49" t="s">
        <v>418</v>
      </c>
      <c r="L249" s="49" t="s">
        <v>636</v>
      </c>
      <c r="M249" s="46"/>
      <c r="AI249" s="134"/>
    </row>
    <row r="250" ht="80.25" customHeight="1" spans="1:35">
      <c r="A250" s="102" t="s">
        <v>46</v>
      </c>
      <c r="B250" s="87" t="s">
        <v>662</v>
      </c>
      <c r="C250" s="96" t="s">
        <v>39</v>
      </c>
      <c r="D250" s="97">
        <v>2623.29</v>
      </c>
      <c r="E250" s="98"/>
      <c r="F250" s="99"/>
      <c r="G250" s="101"/>
      <c r="H250" s="48">
        <v>12</v>
      </c>
      <c r="I250" s="99">
        <f>ROUND(D250*H250,0)</f>
        <v>31479</v>
      </c>
      <c r="J250" s="49" t="s">
        <v>25</v>
      </c>
      <c r="K250" s="49" t="s">
        <v>418</v>
      </c>
      <c r="L250" s="49" t="s">
        <v>636</v>
      </c>
      <c r="M250" s="46"/>
      <c r="AI250" s="134"/>
    </row>
    <row r="251" ht="80.25" customHeight="1" spans="1:35">
      <c r="A251" s="102" t="s">
        <v>275</v>
      </c>
      <c r="B251" s="87" t="s">
        <v>663</v>
      </c>
      <c r="C251" s="96" t="s">
        <v>39</v>
      </c>
      <c r="D251" s="97">
        <v>1124.27</v>
      </c>
      <c r="E251" s="98"/>
      <c r="F251" s="99"/>
      <c r="G251" s="101"/>
      <c r="H251" s="48">
        <v>35</v>
      </c>
      <c r="I251" s="99">
        <f>ROUND(D251*H251,0)</f>
        <v>39349</v>
      </c>
      <c r="J251" s="49" t="s">
        <v>25</v>
      </c>
      <c r="K251" s="49" t="s">
        <v>418</v>
      </c>
      <c r="L251" s="49" t="s">
        <v>636</v>
      </c>
      <c r="M251" s="46"/>
      <c r="AI251" s="134"/>
    </row>
    <row r="252" ht="101.25" customHeight="1" spans="1:35">
      <c r="A252" s="95" t="s">
        <v>78</v>
      </c>
      <c r="B252" s="87" t="s">
        <v>664</v>
      </c>
      <c r="C252" s="96" t="s">
        <v>85</v>
      </c>
      <c r="D252" s="97">
        <v>38.985</v>
      </c>
      <c r="E252" s="98"/>
      <c r="F252" s="99"/>
      <c r="G252" s="101">
        <v>11000</v>
      </c>
      <c r="H252" s="48">
        <f>1280.39+240.73</f>
        <v>1521.12</v>
      </c>
      <c r="I252" s="99">
        <f>ROUND(D252*H252,0)</f>
        <v>59301</v>
      </c>
      <c r="J252" s="49" t="s">
        <v>634</v>
      </c>
      <c r="K252" s="49" t="s">
        <v>635</v>
      </c>
      <c r="L252" s="49" t="s">
        <v>636</v>
      </c>
      <c r="M252" s="46"/>
      <c r="AI252" s="134"/>
    </row>
    <row r="253" ht="80.25" hidden="1" customHeight="1" spans="1:35">
      <c r="A253" s="95"/>
      <c r="B253" s="42" t="s">
        <v>652</v>
      </c>
      <c r="C253" s="41" t="s">
        <v>39</v>
      </c>
      <c r="D253" s="97">
        <v>23.32</v>
      </c>
      <c r="E253" s="98"/>
      <c r="F253" s="99"/>
      <c r="G253" s="101"/>
      <c r="H253" s="36">
        <v>100</v>
      </c>
      <c r="I253" s="99"/>
      <c r="J253" s="46" t="s">
        <v>424</v>
      </c>
      <c r="K253" s="46" t="s">
        <v>418</v>
      </c>
      <c r="L253" s="46" t="s">
        <v>627</v>
      </c>
      <c r="M253" s="46"/>
      <c r="AI253" s="134"/>
    </row>
    <row r="254" ht="80.25" hidden="1" customHeight="1" spans="1:35">
      <c r="A254" s="95"/>
      <c r="B254" s="42" t="s">
        <v>653</v>
      </c>
      <c r="C254" s="41" t="s">
        <v>39</v>
      </c>
      <c r="D254" s="97">
        <v>49.66</v>
      </c>
      <c r="E254" s="98"/>
      <c r="F254" s="99"/>
      <c r="G254" s="101"/>
      <c r="H254" s="36">
        <v>140</v>
      </c>
      <c r="I254" s="99"/>
      <c r="J254" s="46" t="s">
        <v>424</v>
      </c>
      <c r="K254" s="46" t="s">
        <v>418</v>
      </c>
      <c r="L254" s="46" t="s">
        <v>638</v>
      </c>
      <c r="M254" s="46"/>
      <c r="AI254" s="134"/>
    </row>
    <row r="255" ht="80.25" hidden="1" customHeight="1" spans="1:35">
      <c r="A255" s="95"/>
      <c r="B255" s="42" t="s">
        <v>654</v>
      </c>
      <c r="C255" s="41" t="s">
        <v>39</v>
      </c>
      <c r="D255" s="97">
        <v>111.52</v>
      </c>
      <c r="E255" s="98"/>
      <c r="F255" s="99"/>
      <c r="G255" s="101"/>
      <c r="H255" s="36">
        <v>180</v>
      </c>
      <c r="I255" s="99"/>
      <c r="J255" s="46" t="s">
        <v>424</v>
      </c>
      <c r="K255" s="46" t="s">
        <v>418</v>
      </c>
      <c r="L255" s="46" t="s">
        <v>640</v>
      </c>
      <c r="M255" s="46"/>
      <c r="AI255" s="134"/>
    </row>
    <row r="256" ht="80.25" hidden="1" customHeight="1" spans="1:35">
      <c r="A256" s="95"/>
      <c r="B256" s="42" t="s">
        <v>655</v>
      </c>
      <c r="C256" s="41" t="s">
        <v>39</v>
      </c>
      <c r="D256" s="97">
        <v>0.8</v>
      </c>
      <c r="E256" s="98"/>
      <c r="F256" s="99"/>
      <c r="G256" s="101"/>
      <c r="H256" s="36">
        <v>200</v>
      </c>
      <c r="I256" s="99"/>
      <c r="J256" s="46" t="s">
        <v>424</v>
      </c>
      <c r="K256" s="46" t="s">
        <v>418</v>
      </c>
      <c r="L256" s="46" t="s">
        <v>640</v>
      </c>
      <c r="M256" s="46"/>
      <c r="AI256" s="134"/>
    </row>
    <row r="257" ht="80.25" hidden="1" customHeight="1" spans="1:35">
      <c r="A257" s="95"/>
      <c r="B257" s="42" t="s">
        <v>656</v>
      </c>
      <c r="C257" s="41" t="s">
        <v>39</v>
      </c>
      <c r="D257" s="97">
        <v>22.49</v>
      </c>
      <c r="E257" s="98"/>
      <c r="F257" s="99"/>
      <c r="G257" s="101"/>
      <c r="H257" s="36">
        <v>350</v>
      </c>
      <c r="I257" s="99"/>
      <c r="J257" s="46" t="s">
        <v>424</v>
      </c>
      <c r="K257" s="46" t="s">
        <v>418</v>
      </c>
      <c r="L257" s="46" t="s">
        <v>640</v>
      </c>
      <c r="M257" s="46"/>
      <c r="AI257" s="134"/>
    </row>
    <row r="258" ht="80.25" hidden="1" customHeight="1" spans="1:35">
      <c r="A258" s="95"/>
      <c r="B258" s="42" t="s">
        <v>657</v>
      </c>
      <c r="C258" s="41" t="s">
        <v>437</v>
      </c>
      <c r="D258" s="97">
        <v>4531</v>
      </c>
      <c r="E258" s="98"/>
      <c r="F258" s="99"/>
      <c r="G258" s="101"/>
      <c r="H258" s="36">
        <v>0.7</v>
      </c>
      <c r="I258" s="99"/>
      <c r="J258" s="46" t="s">
        <v>518</v>
      </c>
      <c r="K258" s="46" t="s">
        <v>418</v>
      </c>
      <c r="L258" s="46" t="s">
        <v>643</v>
      </c>
      <c r="M258" s="46"/>
      <c r="AI258" s="134"/>
    </row>
    <row r="259" ht="80.25" hidden="1" customHeight="1" spans="1:35">
      <c r="A259" s="95"/>
      <c r="B259" s="42" t="s">
        <v>658</v>
      </c>
      <c r="C259" s="41" t="s">
        <v>39</v>
      </c>
      <c r="D259" s="97"/>
      <c r="E259" s="98"/>
      <c r="F259" s="99"/>
      <c r="G259" s="101"/>
      <c r="H259" s="36">
        <v>350</v>
      </c>
      <c r="I259" s="99"/>
      <c r="J259" s="46" t="s">
        <v>424</v>
      </c>
      <c r="K259" s="46" t="s">
        <v>418</v>
      </c>
      <c r="L259" s="46" t="s">
        <v>640</v>
      </c>
      <c r="M259" s="46"/>
      <c r="AI259" s="134"/>
    </row>
    <row r="260" ht="80.25" hidden="1" customHeight="1" spans="1:35">
      <c r="A260" s="95"/>
      <c r="B260" s="42" t="s">
        <v>659</v>
      </c>
      <c r="C260" s="41" t="s">
        <v>39</v>
      </c>
      <c r="D260" s="97">
        <v>46.77</v>
      </c>
      <c r="E260" s="98"/>
      <c r="F260" s="99"/>
      <c r="G260" s="101"/>
      <c r="H260" s="36">
        <v>200</v>
      </c>
      <c r="I260" s="99"/>
      <c r="J260" s="46" t="s">
        <v>424</v>
      </c>
      <c r="K260" s="46" t="s">
        <v>418</v>
      </c>
      <c r="L260" s="46" t="s">
        <v>627</v>
      </c>
      <c r="M260" s="46"/>
      <c r="AI260" s="134"/>
    </row>
    <row r="261" ht="80.25" hidden="1" customHeight="1" spans="1:35">
      <c r="A261" s="95"/>
      <c r="B261" s="87" t="s">
        <v>660</v>
      </c>
      <c r="C261" s="96" t="s">
        <v>39</v>
      </c>
      <c r="D261" s="97">
        <v>625.7</v>
      </c>
      <c r="E261" s="98"/>
      <c r="F261" s="99"/>
      <c r="G261" s="101"/>
      <c r="H261" s="48">
        <v>15</v>
      </c>
      <c r="I261" s="99"/>
      <c r="J261" s="49" t="s">
        <v>25</v>
      </c>
      <c r="K261" s="49" t="s">
        <v>418</v>
      </c>
      <c r="L261" s="49" t="s">
        <v>636</v>
      </c>
      <c r="M261" s="46"/>
      <c r="AI261" s="134"/>
    </row>
    <row r="262" ht="80.25" customHeight="1" spans="1:35">
      <c r="A262" s="102" t="s">
        <v>289</v>
      </c>
      <c r="B262" s="87" t="s">
        <v>661</v>
      </c>
      <c r="C262" s="96" t="s">
        <v>39</v>
      </c>
      <c r="D262" s="97">
        <v>409.44</v>
      </c>
      <c r="E262" s="98"/>
      <c r="F262" s="99"/>
      <c r="G262" s="101"/>
      <c r="H262" s="48">
        <v>20</v>
      </c>
      <c r="I262" s="99">
        <f>ROUND(D262*H262,0)</f>
        <v>8189</v>
      </c>
      <c r="J262" s="49" t="s">
        <v>25</v>
      </c>
      <c r="K262" s="49" t="s">
        <v>418</v>
      </c>
      <c r="L262" s="49" t="s">
        <v>636</v>
      </c>
      <c r="M262" s="46"/>
      <c r="AI262" s="134"/>
    </row>
    <row r="263" ht="80.25" customHeight="1" spans="1:35">
      <c r="A263" s="102" t="s">
        <v>665</v>
      </c>
      <c r="B263" s="87" t="s">
        <v>662</v>
      </c>
      <c r="C263" s="96" t="s">
        <v>39</v>
      </c>
      <c r="D263" s="97">
        <v>1298.15</v>
      </c>
      <c r="E263" s="98"/>
      <c r="F263" s="99"/>
      <c r="G263" s="101"/>
      <c r="H263" s="48">
        <v>12</v>
      </c>
      <c r="I263" s="99">
        <f>ROUND(D263*H263,0)</f>
        <v>15578</v>
      </c>
      <c r="J263" s="49" t="s">
        <v>25</v>
      </c>
      <c r="K263" s="49" t="s">
        <v>418</v>
      </c>
      <c r="L263" s="49" t="s">
        <v>636</v>
      </c>
      <c r="M263" s="46"/>
      <c r="AI263" s="134"/>
    </row>
    <row r="264" ht="80.25" customHeight="1" spans="1:35">
      <c r="A264" s="102" t="s">
        <v>666</v>
      </c>
      <c r="B264" s="87" t="s">
        <v>663</v>
      </c>
      <c r="C264" s="96" t="s">
        <v>39</v>
      </c>
      <c r="D264" s="97">
        <v>556.35</v>
      </c>
      <c r="E264" s="98"/>
      <c r="F264" s="99"/>
      <c r="G264" s="101"/>
      <c r="H264" s="48">
        <v>35</v>
      </c>
      <c r="I264" s="99">
        <f>ROUND(D264*H264,0)</f>
        <v>19472</v>
      </c>
      <c r="J264" s="49" t="s">
        <v>25</v>
      </c>
      <c r="K264" s="49" t="s">
        <v>418</v>
      </c>
      <c r="L264" s="49" t="s">
        <v>636</v>
      </c>
      <c r="M264" s="46"/>
      <c r="AI264" s="134"/>
    </row>
    <row r="265" ht="114" customHeight="1" spans="1:35">
      <c r="A265" s="95" t="s">
        <v>52</v>
      </c>
      <c r="B265" s="87" t="s">
        <v>667</v>
      </c>
      <c r="C265" s="96" t="s">
        <v>85</v>
      </c>
      <c r="D265" s="97">
        <v>11</v>
      </c>
      <c r="E265" s="98"/>
      <c r="F265" s="99"/>
      <c r="G265" s="101">
        <v>13120</v>
      </c>
      <c r="H265" s="48">
        <f>1970.18+329.91</f>
        <v>2300.09</v>
      </c>
      <c r="I265" s="99">
        <f>ROUND(D265*H265,0)</f>
        <v>25301</v>
      </c>
      <c r="J265" s="49" t="s">
        <v>634</v>
      </c>
      <c r="K265" s="49" t="s">
        <v>635</v>
      </c>
      <c r="L265" s="49" t="s">
        <v>636</v>
      </c>
      <c r="M265" s="46"/>
      <c r="AI265" s="134"/>
    </row>
    <row r="266" ht="80.25" hidden="1" customHeight="1" spans="1:35">
      <c r="A266" s="95"/>
      <c r="B266" s="42" t="s">
        <v>652</v>
      </c>
      <c r="C266" s="41" t="s">
        <v>39</v>
      </c>
      <c r="D266" s="97">
        <v>8.8</v>
      </c>
      <c r="E266" s="98"/>
      <c r="F266" s="99"/>
      <c r="G266" s="101"/>
      <c r="H266" s="36">
        <v>100</v>
      </c>
      <c r="I266" s="99"/>
      <c r="J266" s="46" t="s">
        <v>424</v>
      </c>
      <c r="K266" s="46" t="s">
        <v>418</v>
      </c>
      <c r="L266" s="46" t="s">
        <v>627</v>
      </c>
      <c r="M266" s="46"/>
      <c r="AI266" s="134"/>
    </row>
    <row r="267" ht="80.25" hidden="1" customHeight="1" spans="1:35">
      <c r="A267" s="95"/>
      <c r="B267" s="42" t="s">
        <v>653</v>
      </c>
      <c r="C267" s="41" t="s">
        <v>39</v>
      </c>
      <c r="D267" s="97">
        <v>19.8</v>
      </c>
      <c r="E267" s="98"/>
      <c r="F267" s="99"/>
      <c r="G267" s="101"/>
      <c r="H267" s="36">
        <v>140</v>
      </c>
      <c r="I267" s="99"/>
      <c r="J267" s="46" t="s">
        <v>424</v>
      </c>
      <c r="K267" s="46" t="s">
        <v>418</v>
      </c>
      <c r="L267" s="46" t="s">
        <v>638</v>
      </c>
      <c r="M267" s="46"/>
      <c r="AI267" s="134"/>
    </row>
    <row r="268" ht="80.25" hidden="1" customHeight="1" spans="1:35">
      <c r="A268" s="95"/>
      <c r="B268" s="42" t="s">
        <v>654</v>
      </c>
      <c r="C268" s="41" t="s">
        <v>39</v>
      </c>
      <c r="D268" s="97">
        <v>48</v>
      </c>
      <c r="E268" s="98"/>
      <c r="F268" s="99"/>
      <c r="G268" s="101"/>
      <c r="H268" s="36">
        <v>180</v>
      </c>
      <c r="I268" s="99"/>
      <c r="J268" s="46" t="s">
        <v>424</v>
      </c>
      <c r="K268" s="46" t="s">
        <v>418</v>
      </c>
      <c r="L268" s="46" t="s">
        <v>640</v>
      </c>
      <c r="M268" s="46"/>
      <c r="AI268" s="134"/>
    </row>
    <row r="269" ht="80.25" hidden="1" customHeight="1" spans="1:35">
      <c r="A269" s="95"/>
      <c r="B269" s="42" t="s">
        <v>655</v>
      </c>
      <c r="C269" s="41" t="s">
        <v>39</v>
      </c>
      <c r="D269" s="97">
        <v>0.3</v>
      </c>
      <c r="E269" s="98"/>
      <c r="F269" s="99"/>
      <c r="G269" s="101"/>
      <c r="H269" s="36">
        <v>200</v>
      </c>
      <c r="I269" s="99"/>
      <c r="J269" s="46" t="s">
        <v>424</v>
      </c>
      <c r="K269" s="46" t="s">
        <v>418</v>
      </c>
      <c r="L269" s="46" t="s">
        <v>640</v>
      </c>
      <c r="M269" s="46"/>
      <c r="AI269" s="134"/>
    </row>
    <row r="270" ht="80.25" hidden="1" customHeight="1" spans="1:35">
      <c r="A270" s="95"/>
      <c r="B270" s="42" t="s">
        <v>656</v>
      </c>
      <c r="C270" s="41" t="s">
        <v>39</v>
      </c>
      <c r="D270" s="97">
        <v>9.63</v>
      </c>
      <c r="E270" s="98"/>
      <c r="F270" s="99"/>
      <c r="G270" s="101"/>
      <c r="H270" s="36">
        <v>350</v>
      </c>
      <c r="I270" s="99"/>
      <c r="J270" s="46" t="s">
        <v>424</v>
      </c>
      <c r="K270" s="46" t="s">
        <v>418</v>
      </c>
      <c r="L270" s="46" t="s">
        <v>640</v>
      </c>
      <c r="M270" s="46"/>
      <c r="AI270" s="134"/>
    </row>
    <row r="271" ht="80.25" hidden="1" customHeight="1" spans="1:35">
      <c r="A271" s="95"/>
      <c r="B271" s="42" t="s">
        <v>657</v>
      </c>
      <c r="C271" s="41" t="s">
        <v>437</v>
      </c>
      <c r="D271" s="97">
        <v>2155.12</v>
      </c>
      <c r="E271" s="98"/>
      <c r="F271" s="99"/>
      <c r="G271" s="101"/>
      <c r="H271" s="36">
        <v>0.7</v>
      </c>
      <c r="I271" s="99"/>
      <c r="J271" s="46" t="s">
        <v>518</v>
      </c>
      <c r="K271" s="46" t="s">
        <v>418</v>
      </c>
      <c r="L271" s="46" t="s">
        <v>643</v>
      </c>
      <c r="M271" s="46"/>
      <c r="AI271" s="134"/>
    </row>
    <row r="272" ht="80.25" hidden="1" customHeight="1" spans="1:35">
      <c r="A272" s="95"/>
      <c r="B272" s="42" t="s">
        <v>658</v>
      </c>
      <c r="C272" s="41" t="s">
        <v>39</v>
      </c>
      <c r="D272" s="97">
        <v>0</v>
      </c>
      <c r="E272" s="98"/>
      <c r="F272" s="99"/>
      <c r="G272" s="101"/>
      <c r="H272" s="36">
        <v>350</v>
      </c>
      <c r="I272" s="99"/>
      <c r="J272" s="46" t="s">
        <v>424</v>
      </c>
      <c r="K272" s="46" t="s">
        <v>418</v>
      </c>
      <c r="L272" s="46" t="s">
        <v>640</v>
      </c>
      <c r="M272" s="46"/>
      <c r="AI272" s="134"/>
    </row>
    <row r="273" ht="80.25" hidden="1" customHeight="1" spans="1:35">
      <c r="A273" s="95"/>
      <c r="B273" s="42" t="s">
        <v>659</v>
      </c>
      <c r="C273" s="41" t="s">
        <v>39</v>
      </c>
      <c r="D273" s="97">
        <v>22.2</v>
      </c>
      <c r="E273" s="98"/>
      <c r="F273" s="99"/>
      <c r="G273" s="101"/>
      <c r="H273" s="36">
        <v>200</v>
      </c>
      <c r="I273" s="99"/>
      <c r="J273" s="46" t="s">
        <v>424</v>
      </c>
      <c r="K273" s="46" t="s">
        <v>418</v>
      </c>
      <c r="L273" s="46" t="s">
        <v>627</v>
      </c>
      <c r="M273" s="46"/>
      <c r="AI273" s="134"/>
    </row>
    <row r="274" ht="80.25" hidden="1" customHeight="1" spans="1:35">
      <c r="A274" s="95"/>
      <c r="B274" s="87" t="s">
        <v>660</v>
      </c>
      <c r="C274" s="96" t="s">
        <v>39</v>
      </c>
      <c r="D274" s="97">
        <v>241.9</v>
      </c>
      <c r="E274" s="98"/>
      <c r="F274" s="99"/>
      <c r="G274" s="101"/>
      <c r="H274" s="48">
        <v>15</v>
      </c>
      <c r="I274" s="99"/>
      <c r="J274" s="49" t="s">
        <v>25</v>
      </c>
      <c r="K274" s="49" t="s">
        <v>418</v>
      </c>
      <c r="L274" s="49" t="s">
        <v>636</v>
      </c>
      <c r="M274" s="46"/>
      <c r="AI274" s="134"/>
    </row>
    <row r="275" ht="80.25" customHeight="1" spans="1:35">
      <c r="A275" s="102" t="s">
        <v>668</v>
      </c>
      <c r="B275" s="87" t="s">
        <v>661</v>
      </c>
      <c r="C275" s="96" t="s">
        <v>39</v>
      </c>
      <c r="D275" s="97">
        <v>100.8</v>
      </c>
      <c r="E275" s="98"/>
      <c r="F275" s="99"/>
      <c r="G275" s="101"/>
      <c r="H275" s="48">
        <v>20</v>
      </c>
      <c r="I275" s="99">
        <f>ROUND(D275*H275,0)</f>
        <v>2016</v>
      </c>
      <c r="J275" s="49" t="s">
        <v>25</v>
      </c>
      <c r="K275" s="49" t="s">
        <v>418</v>
      </c>
      <c r="L275" s="49" t="s">
        <v>636</v>
      </c>
      <c r="M275" s="46"/>
      <c r="AI275" s="134"/>
    </row>
    <row r="276" ht="80.25" customHeight="1" spans="1:35">
      <c r="A276" s="102" t="s">
        <v>669</v>
      </c>
      <c r="B276" s="87" t="s">
        <v>662</v>
      </c>
      <c r="C276" s="96" t="s">
        <v>39</v>
      </c>
      <c r="D276" s="97">
        <v>340.34</v>
      </c>
      <c r="E276" s="98"/>
      <c r="F276" s="99"/>
      <c r="G276" s="101"/>
      <c r="H276" s="48">
        <v>12</v>
      </c>
      <c r="I276" s="99">
        <f>ROUND(D276*H276,0)</f>
        <v>4084</v>
      </c>
      <c r="J276" s="49" t="s">
        <v>25</v>
      </c>
      <c r="K276" s="49" t="s">
        <v>418</v>
      </c>
      <c r="L276" s="49" t="s">
        <v>636</v>
      </c>
      <c r="M276" s="46"/>
      <c r="AI276" s="134"/>
    </row>
    <row r="277" ht="80.25" customHeight="1" spans="1:35">
      <c r="A277" s="102" t="s">
        <v>670</v>
      </c>
      <c r="B277" s="87" t="s">
        <v>663</v>
      </c>
      <c r="C277" s="96" t="s">
        <v>39</v>
      </c>
      <c r="D277" s="97">
        <v>145.86</v>
      </c>
      <c r="E277" s="98"/>
      <c r="F277" s="99"/>
      <c r="G277" s="101"/>
      <c r="H277" s="48">
        <v>35</v>
      </c>
      <c r="I277" s="99">
        <f>ROUND(D277*H277,0)</f>
        <v>5105</v>
      </c>
      <c r="J277" s="49" t="s">
        <v>25</v>
      </c>
      <c r="K277" s="49" t="s">
        <v>418</v>
      </c>
      <c r="L277" s="49" t="s">
        <v>636</v>
      </c>
      <c r="M277" s="46"/>
      <c r="AI277" s="134"/>
    </row>
    <row r="278" ht="121.5" customHeight="1" spans="1:35">
      <c r="A278" s="95" t="s">
        <v>58</v>
      </c>
      <c r="B278" s="87" t="s">
        <v>671</v>
      </c>
      <c r="C278" s="96" t="s">
        <v>85</v>
      </c>
      <c r="D278" s="97">
        <v>17</v>
      </c>
      <c r="E278" s="98"/>
      <c r="F278" s="99"/>
      <c r="G278" s="101">
        <v>17127</v>
      </c>
      <c r="H278" s="48">
        <f>1812.12+297.65</f>
        <v>2109.77</v>
      </c>
      <c r="I278" s="99">
        <f>ROUND(D278*H278,0)</f>
        <v>35866</v>
      </c>
      <c r="J278" s="49" t="s">
        <v>634</v>
      </c>
      <c r="K278" s="49" t="s">
        <v>635</v>
      </c>
      <c r="L278" s="49" t="s">
        <v>636</v>
      </c>
      <c r="M278" s="46"/>
      <c r="AI278" s="134"/>
    </row>
    <row r="279" ht="80.25" hidden="1" customHeight="1" spans="1:35">
      <c r="A279" s="95"/>
      <c r="B279" s="42" t="s">
        <v>652</v>
      </c>
      <c r="C279" s="41" t="s">
        <v>39</v>
      </c>
      <c r="D279" s="97">
        <v>16.94</v>
      </c>
      <c r="E279" s="98"/>
      <c r="F279" s="99"/>
      <c r="G279" s="101"/>
      <c r="H279" s="36">
        <v>100</v>
      </c>
      <c r="I279" s="99"/>
      <c r="J279" s="46" t="s">
        <v>424</v>
      </c>
      <c r="K279" s="46" t="s">
        <v>418</v>
      </c>
      <c r="L279" s="46" t="s">
        <v>627</v>
      </c>
      <c r="M279" s="46"/>
      <c r="AI279" s="134"/>
    </row>
    <row r="280" ht="80.25" hidden="1" customHeight="1" spans="1:35">
      <c r="A280" s="95"/>
      <c r="B280" s="42" t="s">
        <v>653</v>
      </c>
      <c r="C280" s="41" t="s">
        <v>39</v>
      </c>
      <c r="D280" s="97">
        <v>24.48</v>
      </c>
      <c r="E280" s="98"/>
      <c r="F280" s="99"/>
      <c r="G280" s="101"/>
      <c r="H280" s="36">
        <v>140</v>
      </c>
      <c r="I280" s="99"/>
      <c r="J280" s="46" t="s">
        <v>424</v>
      </c>
      <c r="K280" s="46" t="s">
        <v>418</v>
      </c>
      <c r="L280" s="46" t="s">
        <v>638</v>
      </c>
      <c r="M280" s="46"/>
      <c r="AI280" s="134"/>
    </row>
    <row r="281" ht="80.25" hidden="1" customHeight="1" spans="1:35">
      <c r="A281" s="95"/>
      <c r="B281" s="42" t="s">
        <v>654</v>
      </c>
      <c r="C281" s="41" t="s">
        <v>39</v>
      </c>
      <c r="D281" s="97">
        <v>73.36</v>
      </c>
      <c r="E281" s="98"/>
      <c r="F281" s="99"/>
      <c r="G281" s="101"/>
      <c r="H281" s="36">
        <v>180</v>
      </c>
      <c r="I281" s="99"/>
      <c r="J281" s="46" t="s">
        <v>424</v>
      </c>
      <c r="K281" s="46" t="s">
        <v>418</v>
      </c>
      <c r="L281" s="46" t="s">
        <v>640</v>
      </c>
      <c r="M281" s="46"/>
      <c r="AI281" s="134"/>
    </row>
    <row r="282" ht="80.25" hidden="1" customHeight="1" spans="1:35">
      <c r="A282" s="95"/>
      <c r="B282" s="42" t="s">
        <v>655</v>
      </c>
      <c r="C282" s="41" t="s">
        <v>39</v>
      </c>
      <c r="D282" s="97">
        <v>0.24</v>
      </c>
      <c r="E282" s="98"/>
      <c r="F282" s="99"/>
      <c r="G282" s="101"/>
      <c r="H282" s="36">
        <v>200</v>
      </c>
      <c r="I282" s="99"/>
      <c r="J282" s="46" t="s">
        <v>424</v>
      </c>
      <c r="K282" s="46" t="s">
        <v>418</v>
      </c>
      <c r="L282" s="46" t="s">
        <v>640</v>
      </c>
      <c r="M282" s="46"/>
      <c r="AI282" s="134"/>
    </row>
    <row r="283" ht="80.25" hidden="1" customHeight="1" spans="1:35">
      <c r="A283" s="95"/>
      <c r="B283" s="42" t="s">
        <v>656</v>
      </c>
      <c r="C283" s="41" t="s">
        <v>39</v>
      </c>
      <c r="D283" s="97">
        <v>15.3</v>
      </c>
      <c r="E283" s="98"/>
      <c r="F283" s="99"/>
      <c r="G283" s="101"/>
      <c r="H283" s="36">
        <v>350</v>
      </c>
      <c r="I283" s="99"/>
      <c r="J283" s="46" t="s">
        <v>424</v>
      </c>
      <c r="K283" s="46" t="s">
        <v>418</v>
      </c>
      <c r="L283" s="46" t="s">
        <v>640</v>
      </c>
      <c r="M283" s="46"/>
      <c r="AI283" s="134"/>
    </row>
    <row r="284" ht="80.25" hidden="1" customHeight="1" spans="1:35">
      <c r="A284" s="95"/>
      <c r="B284" s="42" t="s">
        <v>657</v>
      </c>
      <c r="C284" s="41" t="s">
        <v>437</v>
      </c>
      <c r="D284" s="97">
        <v>3893</v>
      </c>
      <c r="E284" s="98"/>
      <c r="F284" s="99"/>
      <c r="G284" s="101"/>
      <c r="H284" s="36">
        <v>0.7</v>
      </c>
      <c r="I284" s="99"/>
      <c r="J284" s="46" t="s">
        <v>518</v>
      </c>
      <c r="K284" s="46" t="s">
        <v>418</v>
      </c>
      <c r="L284" s="46" t="s">
        <v>643</v>
      </c>
      <c r="M284" s="46"/>
      <c r="AI284" s="134"/>
    </row>
    <row r="285" ht="80.25" hidden="1" customHeight="1" spans="1:35">
      <c r="A285" s="95"/>
      <c r="B285" s="42" t="s">
        <v>658</v>
      </c>
      <c r="C285" s="41" t="s">
        <v>39</v>
      </c>
      <c r="D285" s="97">
        <v>0</v>
      </c>
      <c r="E285" s="98"/>
      <c r="F285" s="99"/>
      <c r="G285" s="101"/>
      <c r="H285" s="36">
        <v>350</v>
      </c>
      <c r="I285" s="99"/>
      <c r="J285" s="46" t="s">
        <v>424</v>
      </c>
      <c r="K285" s="46" t="s">
        <v>418</v>
      </c>
      <c r="L285" s="46" t="s">
        <v>640</v>
      </c>
      <c r="M285" s="46"/>
      <c r="AI285" s="134"/>
    </row>
    <row r="286" ht="80.25" hidden="1" customHeight="1" spans="1:35">
      <c r="A286" s="95"/>
      <c r="B286" s="42" t="s">
        <v>659</v>
      </c>
      <c r="C286" s="41" t="s">
        <v>39</v>
      </c>
      <c r="D286" s="97">
        <v>21.76</v>
      </c>
      <c r="E286" s="98"/>
      <c r="F286" s="99"/>
      <c r="G286" s="101"/>
      <c r="H286" s="36">
        <v>200</v>
      </c>
      <c r="I286" s="99"/>
      <c r="J286" s="46" t="s">
        <v>424</v>
      </c>
      <c r="K286" s="46" t="s">
        <v>418</v>
      </c>
      <c r="L286" s="46" t="s">
        <v>627</v>
      </c>
      <c r="M286" s="46"/>
      <c r="AI286" s="134"/>
    </row>
    <row r="287" ht="80.25" hidden="1" customHeight="1" spans="1:35">
      <c r="A287" s="95"/>
      <c r="B287" s="87" t="s">
        <v>660</v>
      </c>
      <c r="C287" s="96" t="s">
        <v>39</v>
      </c>
      <c r="D287" s="97">
        <v>337.3</v>
      </c>
      <c r="E287" s="98"/>
      <c r="F287" s="99"/>
      <c r="G287" s="101"/>
      <c r="H287" s="48">
        <v>15</v>
      </c>
      <c r="I287" s="99"/>
      <c r="J287" s="49" t="s">
        <v>25</v>
      </c>
      <c r="K287" s="49" t="s">
        <v>418</v>
      </c>
      <c r="L287" s="49" t="s">
        <v>636</v>
      </c>
      <c r="M287" s="46"/>
      <c r="AI287" s="134"/>
    </row>
    <row r="288" ht="80.25" customHeight="1" spans="1:35">
      <c r="A288" s="102" t="s">
        <v>672</v>
      </c>
      <c r="B288" s="87" t="s">
        <v>661</v>
      </c>
      <c r="C288" s="96" t="s">
        <v>39</v>
      </c>
      <c r="D288" s="97">
        <v>1</v>
      </c>
      <c r="E288" s="98"/>
      <c r="F288" s="99"/>
      <c r="G288" s="101"/>
      <c r="H288" s="48">
        <v>20</v>
      </c>
      <c r="I288" s="99">
        <f>ROUND(D288*H288,0)</f>
        <v>20</v>
      </c>
      <c r="J288" s="49" t="s">
        <v>25</v>
      </c>
      <c r="K288" s="49" t="s">
        <v>418</v>
      </c>
      <c r="L288" s="49" t="s">
        <v>636</v>
      </c>
      <c r="M288" s="46"/>
      <c r="AI288" s="134"/>
    </row>
    <row r="289" ht="80.25" customHeight="1" spans="1:35">
      <c r="A289" s="102" t="s">
        <v>673</v>
      </c>
      <c r="B289" s="87" t="s">
        <v>662</v>
      </c>
      <c r="C289" s="96" t="s">
        <v>39</v>
      </c>
      <c r="D289" s="97">
        <v>910</v>
      </c>
      <c r="E289" s="98"/>
      <c r="F289" s="99"/>
      <c r="G289" s="101"/>
      <c r="H289" s="48">
        <v>12</v>
      </c>
      <c r="I289" s="99">
        <f>ROUND(D289*H289,0)</f>
        <v>10920</v>
      </c>
      <c r="J289" s="49" t="s">
        <v>25</v>
      </c>
      <c r="K289" s="49" t="s">
        <v>418</v>
      </c>
      <c r="L289" s="49" t="s">
        <v>636</v>
      </c>
      <c r="M289" s="46"/>
      <c r="AI289" s="134"/>
    </row>
    <row r="290" ht="80.25" customHeight="1" spans="1:35">
      <c r="A290" s="102" t="s">
        <v>674</v>
      </c>
      <c r="B290" s="87" t="s">
        <v>663</v>
      </c>
      <c r="C290" s="96" t="s">
        <v>39</v>
      </c>
      <c r="D290" s="97">
        <v>390</v>
      </c>
      <c r="E290" s="98"/>
      <c r="F290" s="99"/>
      <c r="G290" s="101"/>
      <c r="H290" s="48">
        <v>35</v>
      </c>
      <c r="I290" s="99">
        <f>ROUND(D290*H290,0)</f>
        <v>13650</v>
      </c>
      <c r="J290" s="49" t="s">
        <v>25</v>
      </c>
      <c r="K290" s="49" t="s">
        <v>418</v>
      </c>
      <c r="L290" s="49" t="s">
        <v>636</v>
      </c>
      <c r="M290" s="46"/>
      <c r="AI290" s="134"/>
    </row>
    <row r="291" ht="123.75" customHeight="1" spans="1:35">
      <c r="A291" s="95" t="s">
        <v>64</v>
      </c>
      <c r="B291" s="87" t="s">
        <v>675</v>
      </c>
      <c r="C291" s="96" t="s">
        <v>85</v>
      </c>
      <c r="D291" s="97">
        <v>26</v>
      </c>
      <c r="E291" s="98"/>
      <c r="F291" s="99"/>
      <c r="G291" s="101">
        <v>23210</v>
      </c>
      <c r="H291" s="48">
        <f>2999.12+527.27</f>
        <v>3526.39</v>
      </c>
      <c r="I291" s="99">
        <f>ROUND(D291*H291,0)</f>
        <v>91686</v>
      </c>
      <c r="J291" s="49" t="s">
        <v>634</v>
      </c>
      <c r="K291" s="49" t="s">
        <v>635</v>
      </c>
      <c r="L291" s="49" t="s">
        <v>636</v>
      </c>
      <c r="M291" s="46"/>
      <c r="AI291" s="134"/>
    </row>
    <row r="292" ht="80.25" hidden="1" customHeight="1" spans="1:35">
      <c r="A292" s="95"/>
      <c r="B292" s="42" t="s">
        <v>652</v>
      </c>
      <c r="C292" s="41" t="s">
        <v>39</v>
      </c>
      <c r="D292" s="97">
        <v>31.08</v>
      </c>
      <c r="E292" s="98"/>
      <c r="F292" s="99"/>
      <c r="G292" s="101"/>
      <c r="H292" s="36">
        <v>100</v>
      </c>
      <c r="I292" s="99"/>
      <c r="J292" s="46" t="s">
        <v>424</v>
      </c>
      <c r="K292" s="46" t="s">
        <v>418</v>
      </c>
      <c r="L292" s="46" t="s">
        <v>627</v>
      </c>
      <c r="M292" s="46"/>
      <c r="AI292" s="134"/>
    </row>
    <row r="293" ht="80.25" hidden="1" customHeight="1" spans="1:35">
      <c r="A293" s="95"/>
      <c r="B293" s="42" t="s">
        <v>653</v>
      </c>
      <c r="C293" s="41" t="s">
        <v>39</v>
      </c>
      <c r="D293" s="97">
        <v>115.4</v>
      </c>
      <c r="E293" s="98"/>
      <c r="F293" s="99"/>
      <c r="G293" s="101"/>
      <c r="H293" s="36">
        <v>140</v>
      </c>
      <c r="I293" s="99"/>
      <c r="J293" s="46" t="s">
        <v>424</v>
      </c>
      <c r="K293" s="46" t="s">
        <v>418</v>
      </c>
      <c r="L293" s="46" t="s">
        <v>638</v>
      </c>
      <c r="M293" s="46"/>
      <c r="AI293" s="134"/>
    </row>
    <row r="294" ht="80.25" hidden="1" customHeight="1" spans="1:35">
      <c r="A294" s="95"/>
      <c r="B294" s="42" t="s">
        <v>654</v>
      </c>
      <c r="C294" s="41" t="s">
        <v>39</v>
      </c>
      <c r="D294" s="97">
        <v>178.19</v>
      </c>
      <c r="E294" s="98"/>
      <c r="F294" s="99"/>
      <c r="G294" s="101"/>
      <c r="H294" s="36">
        <v>180</v>
      </c>
      <c r="I294" s="99"/>
      <c r="J294" s="46" t="s">
        <v>424</v>
      </c>
      <c r="K294" s="46" t="s">
        <v>418</v>
      </c>
      <c r="L294" s="46" t="s">
        <v>640</v>
      </c>
      <c r="M294" s="46"/>
      <c r="AI294" s="134"/>
    </row>
    <row r="295" ht="80.25" hidden="1" customHeight="1" spans="1:35">
      <c r="A295" s="95"/>
      <c r="B295" s="42" t="s">
        <v>655</v>
      </c>
      <c r="C295" s="41" t="s">
        <v>39</v>
      </c>
      <c r="D295" s="97">
        <v>0.79</v>
      </c>
      <c r="E295" s="98"/>
      <c r="F295" s="99"/>
      <c r="G295" s="101"/>
      <c r="H295" s="36">
        <v>200</v>
      </c>
      <c r="I295" s="99"/>
      <c r="J295" s="46" t="s">
        <v>424</v>
      </c>
      <c r="K295" s="46" t="s">
        <v>418</v>
      </c>
      <c r="L295" s="46" t="s">
        <v>640</v>
      </c>
      <c r="M295" s="46"/>
      <c r="AI295" s="134"/>
    </row>
    <row r="296" ht="80.25" hidden="1" customHeight="1" spans="1:35">
      <c r="A296" s="95"/>
      <c r="B296" s="42" t="s">
        <v>656</v>
      </c>
      <c r="C296" s="41" t="s">
        <v>39</v>
      </c>
      <c r="D296" s="97">
        <v>27.3</v>
      </c>
      <c r="E296" s="98"/>
      <c r="F296" s="99"/>
      <c r="G296" s="101"/>
      <c r="H296" s="36">
        <v>350</v>
      </c>
      <c r="I296" s="99"/>
      <c r="J296" s="46" t="s">
        <v>424</v>
      </c>
      <c r="K296" s="46" t="s">
        <v>418</v>
      </c>
      <c r="L296" s="46" t="s">
        <v>640</v>
      </c>
      <c r="M296" s="46"/>
      <c r="AI296" s="134"/>
    </row>
    <row r="297" ht="80.25" hidden="1" customHeight="1" spans="1:35">
      <c r="A297" s="95"/>
      <c r="B297" s="42" t="s">
        <v>657</v>
      </c>
      <c r="C297" s="41" t="s">
        <v>437</v>
      </c>
      <c r="D297" s="97">
        <v>6325.8</v>
      </c>
      <c r="E297" s="98"/>
      <c r="F297" s="99"/>
      <c r="G297" s="101"/>
      <c r="H297" s="36">
        <v>0.7</v>
      </c>
      <c r="I297" s="99"/>
      <c r="J297" s="46" t="s">
        <v>518</v>
      </c>
      <c r="K297" s="46" t="s">
        <v>418</v>
      </c>
      <c r="L297" s="46" t="s">
        <v>643</v>
      </c>
      <c r="M297" s="46"/>
      <c r="AI297" s="134"/>
    </row>
    <row r="298" ht="80.25" hidden="1" customHeight="1" spans="1:35">
      <c r="A298" s="95"/>
      <c r="B298" s="42" t="s">
        <v>658</v>
      </c>
      <c r="C298" s="41" t="s">
        <v>39</v>
      </c>
      <c r="D298" s="97">
        <v>0</v>
      </c>
      <c r="E298" s="98"/>
      <c r="F298" s="99"/>
      <c r="G298" s="101"/>
      <c r="H298" s="36">
        <v>350</v>
      </c>
      <c r="I298" s="99"/>
      <c r="J298" s="46" t="s">
        <v>424</v>
      </c>
      <c r="K298" s="46" t="s">
        <v>418</v>
      </c>
      <c r="L298" s="46" t="s">
        <v>640</v>
      </c>
      <c r="M298" s="46"/>
      <c r="AI298" s="134"/>
    </row>
    <row r="299" ht="80.25" hidden="1" customHeight="1" spans="1:35">
      <c r="A299" s="95"/>
      <c r="B299" s="42" t="s">
        <v>659</v>
      </c>
      <c r="C299" s="41" t="s">
        <v>39</v>
      </c>
      <c r="D299" s="97">
        <v>62.49</v>
      </c>
      <c r="E299" s="98"/>
      <c r="F299" s="99"/>
      <c r="G299" s="101"/>
      <c r="H299" s="36">
        <v>200</v>
      </c>
      <c r="I299" s="99"/>
      <c r="J299" s="46" t="s">
        <v>424</v>
      </c>
      <c r="K299" s="46" t="s">
        <v>418</v>
      </c>
      <c r="L299" s="46" t="s">
        <v>627</v>
      </c>
      <c r="M299" s="46"/>
      <c r="AI299" s="134"/>
    </row>
    <row r="300" ht="80.25" hidden="1" customHeight="1" spans="1:35">
      <c r="A300" s="95"/>
      <c r="B300" s="87" t="s">
        <v>660</v>
      </c>
      <c r="C300" s="96" t="s">
        <v>39</v>
      </c>
      <c r="D300" s="97">
        <v>913.9</v>
      </c>
      <c r="E300" s="98"/>
      <c r="F300" s="99"/>
      <c r="G300" s="101"/>
      <c r="H300" s="48">
        <v>15</v>
      </c>
      <c r="I300" s="99"/>
      <c r="J300" s="49" t="s">
        <v>25</v>
      </c>
      <c r="K300" s="49" t="s">
        <v>418</v>
      </c>
      <c r="L300" s="49" t="s">
        <v>636</v>
      </c>
      <c r="M300" s="46"/>
      <c r="AI300" s="134"/>
    </row>
    <row r="301" ht="80.25" customHeight="1" spans="1:35">
      <c r="A301" s="102" t="s">
        <v>676</v>
      </c>
      <c r="B301" s="87" t="s">
        <v>661</v>
      </c>
      <c r="C301" s="96" t="s">
        <v>39</v>
      </c>
      <c r="D301" s="97">
        <v>1</v>
      </c>
      <c r="E301" s="98"/>
      <c r="F301" s="99"/>
      <c r="G301" s="101"/>
      <c r="H301" s="48">
        <v>20</v>
      </c>
      <c r="I301" s="99">
        <f>ROUND(D301*H301,0)</f>
        <v>20</v>
      </c>
      <c r="J301" s="49" t="s">
        <v>25</v>
      </c>
      <c r="K301" s="49" t="s">
        <v>418</v>
      </c>
      <c r="L301" s="49" t="s">
        <v>636</v>
      </c>
      <c r="M301" s="46"/>
      <c r="AI301" s="134"/>
    </row>
    <row r="302" ht="80.25" customHeight="1" spans="1:35">
      <c r="A302" s="102" t="s">
        <v>677</v>
      </c>
      <c r="B302" s="87" t="s">
        <v>662</v>
      </c>
      <c r="C302" s="96" t="s">
        <v>39</v>
      </c>
      <c r="D302" s="97">
        <v>1212.1</v>
      </c>
      <c r="E302" s="98"/>
      <c r="F302" s="99"/>
      <c r="G302" s="101"/>
      <c r="H302" s="48">
        <v>12</v>
      </c>
      <c r="I302" s="99">
        <f>ROUND(D302*H302,0)</f>
        <v>14545</v>
      </c>
      <c r="J302" s="49" t="s">
        <v>25</v>
      </c>
      <c r="K302" s="49" t="s">
        <v>418</v>
      </c>
      <c r="L302" s="49" t="s">
        <v>636</v>
      </c>
      <c r="M302" s="46"/>
      <c r="AI302" s="134"/>
    </row>
    <row r="303" ht="80.25" customHeight="1" spans="1:35">
      <c r="A303" s="102" t="s">
        <v>678</v>
      </c>
      <c r="B303" s="87" t="s">
        <v>663</v>
      </c>
      <c r="C303" s="96" t="s">
        <v>39</v>
      </c>
      <c r="D303" s="97">
        <v>519.45</v>
      </c>
      <c r="E303" s="98"/>
      <c r="F303" s="99"/>
      <c r="G303" s="101"/>
      <c r="H303" s="48">
        <v>35</v>
      </c>
      <c r="I303" s="99">
        <f>ROUND(D303*H303,0)</f>
        <v>18181</v>
      </c>
      <c r="J303" s="49" t="s">
        <v>25</v>
      </c>
      <c r="K303" s="49" t="s">
        <v>418</v>
      </c>
      <c r="L303" s="49" t="s">
        <v>636</v>
      </c>
      <c r="M303" s="46"/>
      <c r="AI303" s="134"/>
    </row>
    <row r="304" ht="110.25" customHeight="1" spans="1:35">
      <c r="A304" s="95" t="s">
        <v>679</v>
      </c>
      <c r="B304" s="87" t="s">
        <v>680</v>
      </c>
      <c r="C304" s="96" t="s">
        <v>85</v>
      </c>
      <c r="D304" s="97">
        <v>36</v>
      </c>
      <c r="E304" s="98"/>
      <c r="F304" s="99"/>
      <c r="G304" s="101">
        <v>34835</v>
      </c>
      <c r="H304" s="48">
        <f>4942.75+763.08</f>
        <v>5705.83</v>
      </c>
      <c r="I304" s="99">
        <f>ROUND(D304*H304,0)</f>
        <v>205410</v>
      </c>
      <c r="J304" s="49" t="s">
        <v>634</v>
      </c>
      <c r="K304" s="49" t="s">
        <v>635</v>
      </c>
      <c r="L304" s="49" t="s">
        <v>636</v>
      </c>
      <c r="M304" s="46"/>
      <c r="AI304" s="134"/>
    </row>
    <row r="305" ht="80.25" hidden="1" customHeight="1" spans="1:35">
      <c r="A305" s="95"/>
      <c r="B305" s="42" t="s">
        <v>652</v>
      </c>
      <c r="C305" s="41" t="s">
        <v>39</v>
      </c>
      <c r="D305" s="97">
        <v>17.2</v>
      </c>
      <c r="E305" s="98"/>
      <c r="F305" s="99"/>
      <c r="G305" s="101"/>
      <c r="H305" s="36">
        <v>100</v>
      </c>
      <c r="I305" s="99"/>
      <c r="J305" s="46" t="s">
        <v>424</v>
      </c>
      <c r="K305" s="46" t="s">
        <v>418</v>
      </c>
      <c r="L305" s="46" t="s">
        <v>627</v>
      </c>
      <c r="M305" s="46"/>
      <c r="AI305" s="134"/>
    </row>
    <row r="306" ht="80.25" hidden="1" customHeight="1" spans="1:35">
      <c r="A306" s="95"/>
      <c r="B306" s="42" t="s">
        <v>653</v>
      </c>
      <c r="C306" s="41" t="s">
        <v>39</v>
      </c>
      <c r="D306" s="97">
        <v>195.76</v>
      </c>
      <c r="E306" s="98"/>
      <c r="F306" s="99"/>
      <c r="G306" s="101"/>
      <c r="H306" s="36">
        <v>140</v>
      </c>
      <c r="I306" s="99"/>
      <c r="J306" s="46" t="s">
        <v>424</v>
      </c>
      <c r="K306" s="46" t="s">
        <v>418</v>
      </c>
      <c r="L306" s="46" t="s">
        <v>638</v>
      </c>
      <c r="M306" s="46"/>
      <c r="AI306" s="134"/>
    </row>
    <row r="307" ht="80.25" hidden="1" customHeight="1" spans="1:35">
      <c r="A307" s="95"/>
      <c r="B307" s="42" t="s">
        <v>654</v>
      </c>
      <c r="C307" s="41" t="s">
        <v>39</v>
      </c>
      <c r="D307" s="97">
        <v>380.61</v>
      </c>
      <c r="E307" s="98"/>
      <c r="F307" s="99"/>
      <c r="G307" s="101"/>
      <c r="H307" s="36">
        <v>180</v>
      </c>
      <c r="I307" s="99"/>
      <c r="J307" s="46" t="s">
        <v>424</v>
      </c>
      <c r="K307" s="46" t="s">
        <v>418</v>
      </c>
      <c r="L307" s="46" t="s">
        <v>640</v>
      </c>
      <c r="M307" s="46"/>
      <c r="AI307" s="134"/>
    </row>
    <row r="308" ht="80.25" hidden="1" customHeight="1" spans="1:35">
      <c r="A308" s="95"/>
      <c r="B308" s="42" t="s">
        <v>655</v>
      </c>
      <c r="C308" s="41" t="s">
        <v>39</v>
      </c>
      <c r="D308" s="97">
        <v>1.1</v>
      </c>
      <c r="E308" s="98"/>
      <c r="F308" s="99"/>
      <c r="G308" s="101"/>
      <c r="H308" s="36">
        <v>200</v>
      </c>
      <c r="I308" s="99"/>
      <c r="J308" s="46" t="s">
        <v>424</v>
      </c>
      <c r="K308" s="46" t="s">
        <v>418</v>
      </c>
      <c r="L308" s="46" t="s">
        <v>640</v>
      </c>
      <c r="M308" s="46"/>
      <c r="AI308" s="134"/>
    </row>
    <row r="309" ht="80.25" hidden="1" customHeight="1" spans="1:35">
      <c r="A309" s="95"/>
      <c r="B309" s="42" t="s">
        <v>656</v>
      </c>
      <c r="C309" s="41" t="s">
        <v>39</v>
      </c>
      <c r="D309" s="97">
        <v>74.52</v>
      </c>
      <c r="E309" s="98"/>
      <c r="F309" s="99"/>
      <c r="G309" s="101"/>
      <c r="H309" s="36">
        <v>350</v>
      </c>
      <c r="I309" s="99"/>
      <c r="J309" s="46" t="s">
        <v>424</v>
      </c>
      <c r="K309" s="46" t="s">
        <v>418</v>
      </c>
      <c r="L309" s="46" t="s">
        <v>640</v>
      </c>
      <c r="M309" s="46"/>
      <c r="AI309" s="134"/>
    </row>
    <row r="310" ht="80.25" hidden="1" customHeight="1" spans="1:35">
      <c r="A310" s="95"/>
      <c r="B310" s="42" t="s">
        <v>657</v>
      </c>
      <c r="C310" s="41" t="s">
        <v>437</v>
      </c>
      <c r="D310" s="97">
        <v>21772.8</v>
      </c>
      <c r="E310" s="98"/>
      <c r="F310" s="99"/>
      <c r="G310" s="101"/>
      <c r="H310" s="36">
        <v>0.7</v>
      </c>
      <c r="I310" s="99"/>
      <c r="J310" s="46" t="s">
        <v>518</v>
      </c>
      <c r="K310" s="46" t="s">
        <v>418</v>
      </c>
      <c r="L310" s="46" t="s">
        <v>643</v>
      </c>
      <c r="M310" s="46"/>
      <c r="AI310" s="134"/>
    </row>
    <row r="311" ht="80.25" hidden="1" customHeight="1" spans="1:35">
      <c r="A311" s="95"/>
      <c r="B311" s="42" t="s">
        <v>658</v>
      </c>
      <c r="C311" s="41" t="s">
        <v>39</v>
      </c>
      <c r="D311" s="97">
        <v>74</v>
      </c>
      <c r="E311" s="98"/>
      <c r="F311" s="99"/>
      <c r="G311" s="101"/>
      <c r="H311" s="36">
        <v>350</v>
      </c>
      <c r="I311" s="99"/>
      <c r="J311" s="46" t="s">
        <v>424</v>
      </c>
      <c r="K311" s="46" t="s">
        <v>418</v>
      </c>
      <c r="L311" s="46" t="s">
        <v>640</v>
      </c>
      <c r="M311" s="46"/>
      <c r="AI311" s="134"/>
    </row>
    <row r="312" ht="80.25" hidden="1" customHeight="1" spans="1:35">
      <c r="A312" s="95"/>
      <c r="B312" s="42" t="s">
        <v>659</v>
      </c>
      <c r="C312" s="41" t="s">
        <v>39</v>
      </c>
      <c r="D312" s="97">
        <v>64.3</v>
      </c>
      <c r="E312" s="98"/>
      <c r="F312" s="99"/>
      <c r="G312" s="101"/>
      <c r="H312" s="36">
        <v>200</v>
      </c>
      <c r="I312" s="99"/>
      <c r="J312" s="46" t="s">
        <v>424</v>
      </c>
      <c r="K312" s="46" t="s">
        <v>418</v>
      </c>
      <c r="L312" s="46" t="s">
        <v>627</v>
      </c>
      <c r="M312" s="46"/>
      <c r="AI312" s="134"/>
    </row>
    <row r="313" ht="80.25" hidden="1" customHeight="1" spans="1:35">
      <c r="A313" s="95"/>
      <c r="B313" s="87" t="s">
        <v>660</v>
      </c>
      <c r="C313" s="96" t="s">
        <v>39</v>
      </c>
      <c r="D313" s="97">
        <v>1831.4</v>
      </c>
      <c r="E313" s="98"/>
      <c r="F313" s="99"/>
      <c r="G313" s="101"/>
      <c r="H313" s="48">
        <v>15</v>
      </c>
      <c r="I313" s="99"/>
      <c r="J313" s="49" t="s">
        <v>25</v>
      </c>
      <c r="K313" s="49" t="s">
        <v>418</v>
      </c>
      <c r="L313" s="49" t="s">
        <v>636</v>
      </c>
      <c r="M313" s="46"/>
      <c r="AI313" s="134"/>
    </row>
    <row r="314" ht="80.25" customHeight="1" spans="1:35">
      <c r="A314" s="102" t="s">
        <v>523</v>
      </c>
      <c r="B314" s="87" t="s">
        <v>661</v>
      </c>
      <c r="C314" s="96" t="s">
        <v>39</v>
      </c>
      <c r="D314" s="97">
        <v>1</v>
      </c>
      <c r="E314" s="98"/>
      <c r="F314" s="99"/>
      <c r="G314" s="101"/>
      <c r="H314" s="48">
        <v>20</v>
      </c>
      <c r="I314" s="99">
        <f>ROUND(D314*H314,0)</f>
        <v>20</v>
      </c>
      <c r="J314" s="49" t="s">
        <v>25</v>
      </c>
      <c r="K314" s="49" t="s">
        <v>418</v>
      </c>
      <c r="L314" s="49" t="s">
        <v>636</v>
      </c>
      <c r="M314" s="46"/>
      <c r="AI314" s="134"/>
    </row>
    <row r="315" ht="80.25" customHeight="1" spans="1:35">
      <c r="A315" s="102" t="s">
        <v>681</v>
      </c>
      <c r="B315" s="87" t="s">
        <v>662</v>
      </c>
      <c r="C315" s="96" t="s">
        <v>39</v>
      </c>
      <c r="D315" s="97">
        <v>2815.2</v>
      </c>
      <c r="E315" s="98"/>
      <c r="F315" s="99"/>
      <c r="G315" s="101"/>
      <c r="H315" s="48">
        <v>12</v>
      </c>
      <c r="I315" s="99">
        <f>ROUND(D315*H315,0)</f>
        <v>33782</v>
      </c>
      <c r="J315" s="49" t="s">
        <v>25</v>
      </c>
      <c r="K315" s="49" t="s">
        <v>418</v>
      </c>
      <c r="L315" s="49" t="s">
        <v>636</v>
      </c>
      <c r="M315" s="46"/>
      <c r="AI315" s="134"/>
    </row>
    <row r="316" ht="80.25" customHeight="1" spans="1:35">
      <c r="A316" s="102" t="s">
        <v>682</v>
      </c>
      <c r="B316" s="87" t="s">
        <v>663</v>
      </c>
      <c r="C316" s="96" t="s">
        <v>39</v>
      </c>
      <c r="D316" s="97">
        <v>1206.51</v>
      </c>
      <c r="E316" s="98"/>
      <c r="F316" s="99"/>
      <c r="G316" s="101"/>
      <c r="H316" s="48">
        <v>35</v>
      </c>
      <c r="I316" s="99">
        <f>ROUND(D316*H316,0)</f>
        <v>42228</v>
      </c>
      <c r="J316" s="49" t="s">
        <v>25</v>
      </c>
      <c r="K316" s="49" t="s">
        <v>418</v>
      </c>
      <c r="L316" s="49" t="s">
        <v>636</v>
      </c>
      <c r="M316" s="46"/>
      <c r="AI316" s="134"/>
    </row>
    <row r="317" ht="117.75" customHeight="1" spans="1:35">
      <c r="A317" s="95" t="s">
        <v>683</v>
      </c>
      <c r="B317" s="87" t="s">
        <v>684</v>
      </c>
      <c r="C317" s="96" t="s">
        <v>85</v>
      </c>
      <c r="D317" s="97">
        <v>31.579</v>
      </c>
      <c r="E317" s="98"/>
      <c r="F317" s="99"/>
      <c r="G317" s="101">
        <v>34835</v>
      </c>
      <c r="H317" s="48">
        <f>5118.43+1003.17</f>
        <v>6121.6</v>
      </c>
      <c r="I317" s="99">
        <f>ROUND(D317*H317,0)</f>
        <v>193314</v>
      </c>
      <c r="J317" s="49" t="s">
        <v>634</v>
      </c>
      <c r="K317" s="49" t="s">
        <v>635</v>
      </c>
      <c r="L317" s="49" t="s">
        <v>636</v>
      </c>
      <c r="M317" s="46"/>
      <c r="AI317" s="134"/>
    </row>
    <row r="318" ht="80.25" hidden="1" customHeight="1" spans="1:35">
      <c r="A318" s="95"/>
      <c r="B318" s="42" t="s">
        <v>652</v>
      </c>
      <c r="C318" s="41" t="s">
        <v>39</v>
      </c>
      <c r="D318" s="97">
        <v>50.37</v>
      </c>
      <c r="E318" s="98"/>
      <c r="F318" s="99"/>
      <c r="G318" s="101"/>
      <c r="H318" s="36">
        <v>100</v>
      </c>
      <c r="I318" s="99"/>
      <c r="J318" s="46" t="s">
        <v>424</v>
      </c>
      <c r="K318" s="46" t="s">
        <v>418</v>
      </c>
      <c r="L318" s="46" t="s">
        <v>627</v>
      </c>
      <c r="M318" s="46"/>
      <c r="AI318" s="134"/>
    </row>
    <row r="319" ht="80.25" hidden="1" customHeight="1" spans="1:35">
      <c r="A319" s="95"/>
      <c r="B319" s="42" t="s">
        <v>653</v>
      </c>
      <c r="C319" s="41" t="s">
        <v>39</v>
      </c>
      <c r="D319" s="97">
        <v>166.76</v>
      </c>
      <c r="E319" s="98"/>
      <c r="F319" s="99"/>
      <c r="G319" s="101"/>
      <c r="H319" s="36">
        <v>140</v>
      </c>
      <c r="I319" s="99"/>
      <c r="J319" s="46" t="s">
        <v>424</v>
      </c>
      <c r="K319" s="46" t="s">
        <v>418</v>
      </c>
      <c r="L319" s="46" t="s">
        <v>638</v>
      </c>
      <c r="M319" s="46"/>
      <c r="AI319" s="134"/>
    </row>
    <row r="320" ht="80.25" hidden="1" customHeight="1" spans="1:35">
      <c r="A320" s="95"/>
      <c r="B320" s="42" t="s">
        <v>654</v>
      </c>
      <c r="C320" s="41" t="s">
        <v>39</v>
      </c>
      <c r="D320" s="97">
        <v>409.71</v>
      </c>
      <c r="E320" s="98"/>
      <c r="F320" s="99"/>
      <c r="G320" s="101"/>
      <c r="H320" s="36">
        <v>180</v>
      </c>
      <c r="I320" s="99"/>
      <c r="J320" s="46" t="s">
        <v>424</v>
      </c>
      <c r="K320" s="46" t="s">
        <v>418</v>
      </c>
      <c r="L320" s="46" t="s">
        <v>640</v>
      </c>
      <c r="M320" s="46"/>
      <c r="AI320" s="134"/>
    </row>
    <row r="321" ht="80.25" hidden="1" customHeight="1" spans="1:35">
      <c r="A321" s="95"/>
      <c r="B321" s="42" t="s">
        <v>655</v>
      </c>
      <c r="C321" s="41" t="s">
        <v>39</v>
      </c>
      <c r="D321" s="97">
        <v>1.18</v>
      </c>
      <c r="E321" s="98"/>
      <c r="F321" s="99"/>
      <c r="G321" s="101"/>
      <c r="H321" s="36">
        <v>200</v>
      </c>
      <c r="I321" s="99"/>
      <c r="J321" s="46" t="s">
        <v>424</v>
      </c>
      <c r="K321" s="46" t="s">
        <v>418</v>
      </c>
      <c r="L321" s="46" t="s">
        <v>640</v>
      </c>
      <c r="M321" s="46"/>
      <c r="AI321" s="134"/>
    </row>
    <row r="322" ht="80.25" hidden="1" customHeight="1" spans="1:35">
      <c r="A322" s="95"/>
      <c r="B322" s="42" t="s">
        <v>656</v>
      </c>
      <c r="C322" s="41" t="s">
        <v>39</v>
      </c>
      <c r="D322" s="97">
        <v>52.26</v>
      </c>
      <c r="E322" s="98"/>
      <c r="F322" s="99"/>
      <c r="G322" s="101"/>
      <c r="H322" s="36">
        <v>350</v>
      </c>
      <c r="I322" s="99"/>
      <c r="J322" s="46" t="s">
        <v>424</v>
      </c>
      <c r="K322" s="46" t="s">
        <v>418</v>
      </c>
      <c r="L322" s="46" t="s">
        <v>640</v>
      </c>
      <c r="M322" s="46"/>
      <c r="AI322" s="134"/>
    </row>
    <row r="323" ht="80.25" hidden="1" customHeight="1" spans="1:35">
      <c r="A323" s="95"/>
      <c r="B323" s="42" t="s">
        <v>657</v>
      </c>
      <c r="C323" s="41" t="s">
        <v>437</v>
      </c>
      <c r="D323" s="97">
        <v>12962.75</v>
      </c>
      <c r="E323" s="98"/>
      <c r="F323" s="99"/>
      <c r="G323" s="101"/>
      <c r="H323" s="36">
        <v>0.7</v>
      </c>
      <c r="I323" s="99"/>
      <c r="J323" s="46" t="s">
        <v>518</v>
      </c>
      <c r="K323" s="46" t="s">
        <v>418</v>
      </c>
      <c r="L323" s="46" t="s">
        <v>643</v>
      </c>
      <c r="M323" s="46"/>
      <c r="AI323" s="134"/>
    </row>
    <row r="324" ht="80.25" hidden="1" customHeight="1" spans="1:35">
      <c r="A324" s="95"/>
      <c r="B324" s="42" t="s">
        <v>658</v>
      </c>
      <c r="C324" s="41" t="s">
        <v>39</v>
      </c>
      <c r="D324" s="97">
        <v>0</v>
      </c>
      <c r="E324" s="98"/>
      <c r="F324" s="99"/>
      <c r="G324" s="101"/>
      <c r="H324" s="36">
        <v>350</v>
      </c>
      <c r="I324" s="99"/>
      <c r="J324" s="46" t="s">
        <v>424</v>
      </c>
      <c r="K324" s="46" t="s">
        <v>418</v>
      </c>
      <c r="L324" s="46" t="s">
        <v>640</v>
      </c>
      <c r="M324" s="46"/>
      <c r="AI324" s="134"/>
    </row>
    <row r="325" ht="80.25" hidden="1" customHeight="1" spans="1:35">
      <c r="A325" s="95"/>
      <c r="B325" s="42" t="s">
        <v>659</v>
      </c>
      <c r="C325" s="41" t="s">
        <v>39</v>
      </c>
      <c r="D325" s="97">
        <v>159.54</v>
      </c>
      <c r="E325" s="98"/>
      <c r="F325" s="99"/>
      <c r="G325" s="101"/>
      <c r="H325" s="36">
        <v>200</v>
      </c>
      <c r="I325" s="99"/>
      <c r="J325" s="46" t="s">
        <v>424</v>
      </c>
      <c r="K325" s="46" t="s">
        <v>418</v>
      </c>
      <c r="L325" s="46" t="s">
        <v>627</v>
      </c>
      <c r="M325" s="46"/>
      <c r="AI325" s="134"/>
    </row>
    <row r="326" ht="80.25" hidden="1" customHeight="1" spans="1:35">
      <c r="A326" s="95"/>
      <c r="B326" s="87" t="s">
        <v>660</v>
      </c>
      <c r="C326" s="96" t="s">
        <v>39</v>
      </c>
      <c r="D326" s="97">
        <v>2112</v>
      </c>
      <c r="E326" s="98"/>
      <c r="F326" s="99"/>
      <c r="G326" s="101"/>
      <c r="H326" s="48">
        <v>15</v>
      </c>
      <c r="I326" s="99"/>
      <c r="J326" s="49" t="s">
        <v>25</v>
      </c>
      <c r="K326" s="49" t="s">
        <v>418</v>
      </c>
      <c r="L326" s="49" t="s">
        <v>636</v>
      </c>
      <c r="M326" s="46"/>
      <c r="AI326" s="134"/>
    </row>
    <row r="327" ht="80.25" customHeight="1" spans="1:35">
      <c r="A327" s="102" t="s">
        <v>685</v>
      </c>
      <c r="B327" s="87" t="s">
        <v>661</v>
      </c>
      <c r="C327" s="96" t="s">
        <v>39</v>
      </c>
      <c r="D327" s="97">
        <v>1</v>
      </c>
      <c r="E327" s="98"/>
      <c r="F327" s="99"/>
      <c r="G327" s="101"/>
      <c r="H327" s="48">
        <v>20</v>
      </c>
      <c r="I327" s="99">
        <f>ROUND(D327*H327,0)</f>
        <v>20</v>
      </c>
      <c r="J327" s="49" t="s">
        <v>25</v>
      </c>
      <c r="K327" s="49" t="s">
        <v>418</v>
      </c>
      <c r="L327" s="49" t="s">
        <v>636</v>
      </c>
      <c r="M327" s="46"/>
      <c r="AI327" s="134"/>
    </row>
    <row r="328" ht="80.25" customHeight="1" spans="1:35">
      <c r="A328" s="102" t="s">
        <v>686</v>
      </c>
      <c r="B328" s="87" t="s">
        <v>662</v>
      </c>
      <c r="C328" s="96" t="s">
        <v>39</v>
      </c>
      <c r="D328" s="97">
        <v>2237.48</v>
      </c>
      <c r="E328" s="98"/>
      <c r="F328" s="99"/>
      <c r="G328" s="101"/>
      <c r="H328" s="48">
        <v>12</v>
      </c>
      <c r="I328" s="99">
        <f>ROUND(D328*H328,0)</f>
        <v>26850</v>
      </c>
      <c r="J328" s="49" t="s">
        <v>25</v>
      </c>
      <c r="K328" s="49" t="s">
        <v>418</v>
      </c>
      <c r="L328" s="49" t="s">
        <v>636</v>
      </c>
      <c r="M328" s="46"/>
      <c r="AI328" s="134"/>
    </row>
    <row r="329" ht="80.25" customHeight="1" spans="1:35">
      <c r="A329" s="102" t="s">
        <v>687</v>
      </c>
      <c r="B329" s="87" t="s">
        <v>663</v>
      </c>
      <c r="C329" s="96" t="s">
        <v>39</v>
      </c>
      <c r="D329" s="97">
        <v>958.52</v>
      </c>
      <c r="E329" s="98"/>
      <c r="F329" s="99"/>
      <c r="G329" s="101"/>
      <c r="H329" s="48">
        <v>35</v>
      </c>
      <c r="I329" s="99">
        <f>ROUND(D329*H329,0)</f>
        <v>33548</v>
      </c>
      <c r="J329" s="49" t="s">
        <v>25</v>
      </c>
      <c r="K329" s="49" t="s">
        <v>418</v>
      </c>
      <c r="L329" s="49" t="s">
        <v>636</v>
      </c>
      <c r="M329" s="46"/>
      <c r="AI329" s="134"/>
    </row>
    <row r="330" ht="127.5" customHeight="1" spans="1:35">
      <c r="A330" s="95" t="s">
        <v>688</v>
      </c>
      <c r="B330" s="87" t="s">
        <v>689</v>
      </c>
      <c r="C330" s="96" t="s">
        <v>85</v>
      </c>
      <c r="D330" s="97">
        <v>13</v>
      </c>
      <c r="E330" s="98"/>
      <c r="F330" s="99"/>
      <c r="G330" s="101">
        <v>14013</v>
      </c>
      <c r="H330" s="48">
        <v>6772.08</v>
      </c>
      <c r="I330" s="99">
        <f>ROUND(D330*H330,0)</f>
        <v>88037</v>
      </c>
      <c r="J330" s="49" t="s">
        <v>634</v>
      </c>
      <c r="K330" s="49" t="s">
        <v>635</v>
      </c>
      <c r="L330" s="49"/>
      <c r="M330" s="46"/>
      <c r="AI330" s="134"/>
    </row>
    <row r="331" ht="80.25" hidden="1" customHeight="1" spans="1:35">
      <c r="A331" s="95"/>
      <c r="B331" s="42" t="s">
        <v>652</v>
      </c>
      <c r="C331" s="41" t="s">
        <v>39</v>
      </c>
      <c r="D331" s="97"/>
      <c r="E331" s="98"/>
      <c r="F331" s="99"/>
      <c r="G331" s="101"/>
      <c r="H331" s="36">
        <v>100</v>
      </c>
      <c r="I331" s="99"/>
      <c r="J331" s="46" t="s">
        <v>424</v>
      </c>
      <c r="K331" s="46" t="s">
        <v>418</v>
      </c>
      <c r="L331" s="46" t="s">
        <v>627</v>
      </c>
      <c r="M331" s="46"/>
      <c r="AI331" s="134"/>
    </row>
    <row r="332" ht="80.25" hidden="1" customHeight="1" spans="1:35">
      <c r="A332" s="95"/>
      <c r="B332" s="42" t="s">
        <v>653</v>
      </c>
      <c r="C332" s="41" t="s">
        <v>39</v>
      </c>
      <c r="D332" s="97">
        <v>283.1</v>
      </c>
      <c r="E332" s="98"/>
      <c r="F332" s="99"/>
      <c r="G332" s="101"/>
      <c r="H332" s="36">
        <v>140</v>
      </c>
      <c r="I332" s="99"/>
      <c r="J332" s="46" t="s">
        <v>424</v>
      </c>
      <c r="K332" s="46" t="s">
        <v>418</v>
      </c>
      <c r="L332" s="46" t="s">
        <v>638</v>
      </c>
      <c r="M332" s="46"/>
      <c r="AI332" s="134"/>
    </row>
    <row r="333" ht="80.25" hidden="1" customHeight="1" spans="1:35">
      <c r="A333" s="95"/>
      <c r="B333" s="42" t="s">
        <v>654</v>
      </c>
      <c r="C333" s="41" t="s">
        <v>39</v>
      </c>
      <c r="D333" s="97">
        <v>167.2</v>
      </c>
      <c r="E333" s="98"/>
      <c r="F333" s="99"/>
      <c r="G333" s="101"/>
      <c r="H333" s="36">
        <v>180</v>
      </c>
      <c r="I333" s="99"/>
      <c r="J333" s="46" t="s">
        <v>424</v>
      </c>
      <c r="K333" s="46" t="s">
        <v>418</v>
      </c>
      <c r="L333" s="46" t="s">
        <v>640</v>
      </c>
      <c r="M333" s="46"/>
      <c r="AI333" s="134"/>
    </row>
    <row r="334" ht="80.25" hidden="1" customHeight="1" spans="1:35">
      <c r="A334" s="95"/>
      <c r="B334" s="42" t="s">
        <v>655</v>
      </c>
      <c r="C334" s="41" t="s">
        <v>39</v>
      </c>
      <c r="D334" s="97">
        <v>0.8</v>
      </c>
      <c r="E334" s="98"/>
      <c r="F334" s="99"/>
      <c r="G334" s="101"/>
      <c r="H334" s="36">
        <v>200</v>
      </c>
      <c r="I334" s="99"/>
      <c r="J334" s="46" t="s">
        <v>424</v>
      </c>
      <c r="K334" s="46" t="s">
        <v>418</v>
      </c>
      <c r="L334" s="46" t="s">
        <v>640</v>
      </c>
      <c r="M334" s="46"/>
      <c r="AI334" s="134"/>
    </row>
    <row r="335" ht="80.25" hidden="1" customHeight="1" spans="1:35">
      <c r="A335" s="95"/>
      <c r="B335" s="42" t="s">
        <v>656</v>
      </c>
      <c r="C335" s="41" t="s">
        <v>39</v>
      </c>
      <c r="D335" s="97">
        <v>14.9</v>
      </c>
      <c r="E335" s="98"/>
      <c r="F335" s="99"/>
      <c r="G335" s="101"/>
      <c r="H335" s="36">
        <v>350</v>
      </c>
      <c r="I335" s="99"/>
      <c r="J335" s="46" t="s">
        <v>424</v>
      </c>
      <c r="K335" s="46" t="s">
        <v>418</v>
      </c>
      <c r="L335" s="46" t="s">
        <v>640</v>
      </c>
      <c r="M335" s="46"/>
      <c r="AI335" s="134"/>
    </row>
    <row r="336" ht="80.25" hidden="1" customHeight="1" spans="1:35">
      <c r="A336" s="95"/>
      <c r="B336" s="42" t="s">
        <v>657</v>
      </c>
      <c r="C336" s="41" t="s">
        <v>437</v>
      </c>
      <c r="D336" s="97">
        <v>3445</v>
      </c>
      <c r="E336" s="98"/>
      <c r="F336" s="99"/>
      <c r="G336" s="101"/>
      <c r="H336" s="36">
        <v>0.7</v>
      </c>
      <c r="I336" s="99"/>
      <c r="J336" s="46" t="s">
        <v>518</v>
      </c>
      <c r="K336" s="46" t="s">
        <v>418</v>
      </c>
      <c r="L336" s="46" t="s">
        <v>643</v>
      </c>
      <c r="M336" s="46"/>
      <c r="AI336" s="134"/>
    </row>
    <row r="337" ht="80.25" hidden="1" customHeight="1" spans="1:35">
      <c r="A337" s="95"/>
      <c r="B337" s="42" t="s">
        <v>658</v>
      </c>
      <c r="C337" s="41" t="s">
        <v>39</v>
      </c>
      <c r="D337" s="97">
        <v>15.2</v>
      </c>
      <c r="E337" s="98"/>
      <c r="F337" s="99"/>
      <c r="G337" s="101"/>
      <c r="H337" s="36">
        <v>350</v>
      </c>
      <c r="I337" s="99"/>
      <c r="J337" s="46" t="s">
        <v>424</v>
      </c>
      <c r="K337" s="46" t="s">
        <v>418</v>
      </c>
      <c r="L337" s="46" t="s">
        <v>640</v>
      </c>
      <c r="M337" s="46"/>
      <c r="AI337" s="134"/>
    </row>
    <row r="338" ht="80.25" hidden="1" customHeight="1" spans="1:35">
      <c r="A338" s="95"/>
      <c r="B338" s="42" t="s">
        <v>659</v>
      </c>
      <c r="C338" s="41" t="s">
        <v>39</v>
      </c>
      <c r="D338" s="97">
        <v>26</v>
      </c>
      <c r="E338" s="98"/>
      <c r="F338" s="99"/>
      <c r="G338" s="101"/>
      <c r="H338" s="36">
        <v>200</v>
      </c>
      <c r="I338" s="99"/>
      <c r="J338" s="46" t="s">
        <v>424</v>
      </c>
      <c r="K338" s="46" t="s">
        <v>418</v>
      </c>
      <c r="L338" s="46" t="s">
        <v>627</v>
      </c>
      <c r="M338" s="46"/>
      <c r="AI338" s="134"/>
    </row>
    <row r="339" ht="80.25" customHeight="1" spans="1:35">
      <c r="A339" s="102" t="s">
        <v>690</v>
      </c>
      <c r="B339" s="87" t="s">
        <v>691</v>
      </c>
      <c r="C339" s="96" t="s">
        <v>39</v>
      </c>
      <c r="D339" s="97">
        <v>1</v>
      </c>
      <c r="E339" s="98"/>
      <c r="F339" s="99"/>
      <c r="G339" s="101"/>
      <c r="H339" s="48">
        <v>20</v>
      </c>
      <c r="I339" s="99">
        <f>ROUND(D339*H339,0)</f>
        <v>20</v>
      </c>
      <c r="J339" s="49" t="s">
        <v>692</v>
      </c>
      <c r="K339" s="49" t="s">
        <v>418</v>
      </c>
      <c r="L339" s="49" t="s">
        <v>636</v>
      </c>
      <c r="M339" s="46"/>
      <c r="AI339" s="134"/>
    </row>
    <row r="340" ht="80.25" customHeight="1" spans="1:35">
      <c r="A340" s="102" t="s">
        <v>693</v>
      </c>
      <c r="B340" s="87" t="s">
        <v>660</v>
      </c>
      <c r="C340" s="96" t="s">
        <v>39</v>
      </c>
      <c r="D340" s="97">
        <v>90</v>
      </c>
      <c r="E340" s="98"/>
      <c r="F340" s="99"/>
      <c r="G340" s="101"/>
      <c r="H340" s="48">
        <v>20</v>
      </c>
      <c r="I340" s="99">
        <f>ROUND(D340*H340,0)</f>
        <v>1800</v>
      </c>
      <c r="J340" s="49" t="s">
        <v>692</v>
      </c>
      <c r="K340" s="49" t="s">
        <v>418</v>
      </c>
      <c r="L340" s="49" t="s">
        <v>636</v>
      </c>
      <c r="M340" s="46"/>
      <c r="AI340" s="134"/>
    </row>
    <row r="341" ht="80.25" customHeight="1" spans="1:35">
      <c r="A341" s="102" t="s">
        <v>694</v>
      </c>
      <c r="B341" s="87" t="s">
        <v>662</v>
      </c>
      <c r="C341" s="96" t="s">
        <v>39</v>
      </c>
      <c r="D341" s="97">
        <v>1329</v>
      </c>
      <c r="E341" s="98"/>
      <c r="F341" s="99"/>
      <c r="G341" s="101"/>
      <c r="H341" s="48">
        <v>12</v>
      </c>
      <c r="I341" s="99">
        <f>ROUND(D341*H341,0)</f>
        <v>15948</v>
      </c>
      <c r="J341" s="49" t="s">
        <v>25</v>
      </c>
      <c r="K341" s="49" t="s">
        <v>418</v>
      </c>
      <c r="L341" s="49" t="s">
        <v>636</v>
      </c>
      <c r="M341" s="46"/>
      <c r="AI341" s="134"/>
    </row>
    <row r="342" ht="80.25" customHeight="1" spans="1:35">
      <c r="A342" s="102" t="s">
        <v>695</v>
      </c>
      <c r="B342" s="87" t="s">
        <v>663</v>
      </c>
      <c r="C342" s="96" t="s">
        <v>39</v>
      </c>
      <c r="D342" s="97">
        <v>576</v>
      </c>
      <c r="E342" s="98"/>
      <c r="F342" s="99"/>
      <c r="G342" s="101"/>
      <c r="H342" s="48">
        <v>35</v>
      </c>
      <c r="I342" s="99">
        <f>ROUND(D342*H342,0)</f>
        <v>20160</v>
      </c>
      <c r="J342" s="49" t="s">
        <v>25</v>
      </c>
      <c r="K342" s="49" t="s">
        <v>418</v>
      </c>
      <c r="L342" s="49" t="s">
        <v>636</v>
      </c>
      <c r="M342" s="46"/>
      <c r="AI342" s="134"/>
    </row>
    <row r="343" ht="88.5" customHeight="1" spans="1:35">
      <c r="A343" s="135" t="s">
        <v>696</v>
      </c>
      <c r="B343" s="136"/>
      <c r="C343" s="136"/>
      <c r="D343" s="106"/>
      <c r="E343" s="106"/>
      <c r="F343" s="107" t="e">
        <f>#REF!+#REF!</f>
        <v>#REF!</v>
      </c>
      <c r="G343" s="107"/>
      <c r="H343" s="108"/>
      <c r="I343" s="107">
        <f>SUM(I6:I342)</f>
        <v>6182374</v>
      </c>
      <c r="J343" s="110"/>
      <c r="K343" s="110"/>
      <c r="L343" s="110"/>
      <c r="M343" s="110"/>
    </row>
    <row r="344" ht="138" customHeight="1" spans="1:35">
      <c r="A344" s="111" t="s">
        <v>697</v>
      </c>
      <c r="B344" s="111"/>
      <c r="C344" s="111"/>
      <c r="D344" s="111"/>
      <c r="E344" s="111"/>
      <c r="F344" s="111"/>
      <c r="G344" s="111"/>
      <c r="H344" s="111"/>
      <c r="I344" s="111"/>
      <c r="J344" s="111"/>
      <c r="K344" s="111"/>
      <c r="L344" s="111"/>
      <c r="M344" s="111"/>
    </row>
    <row r="345" ht="48" customHeight="1" spans="1:35">
      <c r="A345" s="137" t="s">
        <v>698</v>
      </c>
      <c r="B345" s="137"/>
      <c r="C345" s="137"/>
      <c r="D345" s="137"/>
      <c r="E345" s="137"/>
      <c r="F345" s="137"/>
      <c r="G345" s="137"/>
      <c r="H345" s="137"/>
      <c r="I345" s="137"/>
      <c r="J345" s="137"/>
      <c r="K345" s="137"/>
      <c r="L345" s="137"/>
      <c r="M345" s="137"/>
    </row>
    <row r="346" ht="42.75" customHeight="1" spans="1:35">
      <c r="A346" s="113" t="s">
        <v>125</v>
      </c>
      <c r="B346" s="113"/>
      <c r="C346" s="113"/>
      <c r="D346" s="113"/>
      <c r="E346" s="113"/>
      <c r="F346" s="113"/>
      <c r="G346" s="113"/>
      <c r="H346" s="113"/>
      <c r="I346" s="113"/>
      <c r="J346" s="113"/>
      <c r="K346" s="113"/>
      <c r="L346" s="113"/>
      <c r="M346" s="113"/>
    </row>
    <row r="347" ht="36.75" customHeight="1" spans="1:35">
      <c r="A347" s="113" t="s">
        <v>699</v>
      </c>
      <c r="B347" s="113"/>
      <c r="C347" s="113"/>
      <c r="D347" s="113"/>
      <c r="E347" s="113"/>
      <c r="F347" s="113"/>
      <c r="G347" s="113"/>
      <c r="H347" s="113"/>
      <c r="I347" s="113"/>
      <c r="J347" s="113"/>
      <c r="K347" s="113"/>
      <c r="L347" s="113"/>
      <c r="M347" s="113"/>
    </row>
    <row r="348" ht="81.75" customHeight="1" spans="1:35">
      <c r="A348" s="113" t="s">
        <v>700</v>
      </c>
      <c r="B348" s="113"/>
      <c r="C348" s="113"/>
      <c r="D348" s="113"/>
      <c r="E348" s="113"/>
      <c r="F348" s="113"/>
      <c r="G348" s="113"/>
      <c r="H348" s="113"/>
      <c r="I348" s="113"/>
      <c r="J348" s="113"/>
      <c r="K348" s="113"/>
      <c r="L348" s="113"/>
      <c r="M348" s="113"/>
    </row>
    <row r="349" ht="63.75" customHeight="1" spans="1:35">
      <c r="A349" s="113" t="s">
        <v>701</v>
      </c>
      <c r="B349" s="113"/>
      <c r="C349" s="113"/>
      <c r="D349" s="113"/>
      <c r="E349" s="113"/>
      <c r="F349" s="113"/>
      <c r="G349" s="113"/>
      <c r="H349" s="113"/>
      <c r="I349" s="113"/>
      <c r="J349" s="113"/>
      <c r="K349" s="113"/>
      <c r="L349" s="113"/>
      <c r="M349" s="113"/>
    </row>
    <row r="350" ht="33.75" customHeight="1" spans="1:35">
      <c r="A350" s="113" t="s">
        <v>702</v>
      </c>
      <c r="B350" s="113"/>
      <c r="C350" s="113"/>
      <c r="D350" s="113"/>
      <c r="E350" s="113"/>
      <c r="F350" s="113"/>
      <c r="G350" s="113"/>
      <c r="H350" s="113"/>
      <c r="I350" s="113"/>
      <c r="J350" s="113"/>
      <c r="K350" s="113"/>
      <c r="L350" s="113"/>
      <c r="M350" s="113"/>
    </row>
    <row r="351" ht="33" customHeight="1" spans="1:35">
      <c r="A351" s="113" t="s">
        <v>703</v>
      </c>
      <c r="B351" s="113"/>
      <c r="C351" s="113"/>
      <c r="D351" s="113"/>
      <c r="E351" s="113"/>
      <c r="F351" s="113"/>
      <c r="G351" s="113"/>
      <c r="H351" s="113"/>
      <c r="I351" s="113"/>
      <c r="J351" s="113"/>
      <c r="K351" s="113"/>
      <c r="L351" s="113"/>
      <c r="M351" s="113"/>
    </row>
    <row r="352" ht="33" customHeight="1" spans="1:35">
      <c r="A352" s="113" t="s">
        <v>704</v>
      </c>
      <c r="B352" s="113"/>
      <c r="C352" s="113"/>
      <c r="D352" s="113"/>
      <c r="E352" s="113"/>
      <c r="F352" s="113"/>
      <c r="G352" s="113"/>
      <c r="H352" s="113"/>
      <c r="I352" s="113"/>
      <c r="J352" s="113"/>
      <c r="K352" s="113"/>
      <c r="L352" s="113"/>
      <c r="M352" s="113"/>
    </row>
    <row r="353" ht="33" customHeight="1" spans="1:24">
      <c r="A353" s="113" t="s">
        <v>705</v>
      </c>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row>
    <row r="354" ht="33" customHeight="1" spans="1:24">
      <c r="A354" s="113" t="s">
        <v>706</v>
      </c>
      <c r="B354" s="113"/>
      <c r="C354" s="113"/>
      <c r="D354" s="113"/>
      <c r="E354" s="113"/>
      <c r="F354" s="113"/>
      <c r="G354" s="113"/>
      <c r="H354" s="113"/>
      <c r="I354" s="113"/>
      <c r="J354" s="113"/>
      <c r="K354" s="113"/>
      <c r="L354" s="113"/>
      <c r="M354" s="113"/>
    </row>
    <row r="355" ht="33" customHeight="1" spans="1:24">
      <c r="A355" s="113" t="s">
        <v>707</v>
      </c>
      <c r="B355" s="113"/>
      <c r="C355" s="113"/>
      <c r="D355" s="113"/>
      <c r="E355" s="113"/>
      <c r="F355" s="113"/>
      <c r="G355" s="113"/>
      <c r="H355" s="113"/>
      <c r="I355" s="113"/>
      <c r="J355" s="113"/>
      <c r="K355" s="113"/>
      <c r="L355" s="113"/>
      <c r="M355" s="113"/>
    </row>
    <row r="356" ht="33" customHeight="1" spans="1:24">
      <c r="A356" s="112" t="s">
        <v>708</v>
      </c>
      <c r="B356" s="112"/>
      <c r="C356" s="112"/>
      <c r="D356" s="112"/>
      <c r="E356" s="112"/>
      <c r="F356" s="112"/>
      <c r="G356" s="112"/>
      <c r="H356" s="112"/>
      <c r="I356" s="112"/>
      <c r="J356" s="112"/>
      <c r="K356" s="112"/>
      <c r="L356" s="112"/>
      <c r="M356" s="112"/>
    </row>
  </sheetData>
  <autoFilter xmlns:etc="http://www.wps.cn/officeDocument/2017/etCustomData" ref="L1:L356" etc:filterBottomFollowUsedRange="0">
    <extLst/>
  </autoFilter>
  <mergeCells count="31">
    <mergeCell ref="A1:M1"/>
    <mergeCell ref="H2:I2"/>
    <mergeCell ref="A5:B5"/>
    <mergeCell ref="A343:C343"/>
    <mergeCell ref="A344:M344"/>
    <mergeCell ref="A345:M345"/>
    <mergeCell ref="A346:M346"/>
    <mergeCell ref="A347:M347"/>
    <mergeCell ref="A348:M348"/>
    <mergeCell ref="A349:M349"/>
    <mergeCell ref="A350:M350"/>
    <mergeCell ref="A351:M351"/>
    <mergeCell ref="A352:M352"/>
    <mergeCell ref="A353:M353"/>
    <mergeCell ref="N353:X353"/>
    <mergeCell ref="A354:M354"/>
    <mergeCell ref="A355:M355"/>
    <mergeCell ref="A356:M356"/>
    <mergeCell ref="A2:A4"/>
    <mergeCell ref="B2:B4"/>
    <mergeCell ref="C2:C4"/>
    <mergeCell ref="D2:D4"/>
    <mergeCell ref="E3:E4"/>
    <mergeCell ref="F3:F4"/>
    <mergeCell ref="G2:G4"/>
    <mergeCell ref="H3:H4"/>
    <mergeCell ref="I3:I4"/>
    <mergeCell ref="J2:J5"/>
    <mergeCell ref="K2:K5"/>
    <mergeCell ref="L2:L5"/>
    <mergeCell ref="M2:M5"/>
  </mergeCells>
  <conditionalFormatting sqref="I53:I168">
    <cfRule type="cellIs" dxfId="0" priority="1" stopIfTrue="1" operator="lessThan">
      <formula>0</formula>
    </cfRule>
  </conditionalFormatting>
  <printOptions horizontalCentered="1"/>
  <pageMargins left="0.196850393700787" right="0.196850393700787" top="0.393700787401575" bottom="0.393700787401575" header="0.31496062992126" footer="0.31496062992126"/>
  <pageSetup paperSize="9" scale="50" fitToHeight="0" orientation="landscape"/>
  <headerFooter>
    <oddFooter>&amp;C第 &amp;P 页，共 &amp;N 页</oddFooter>
  </headerFooter>
  <rowBreaks count="7" manualBreakCount="7">
    <brk id="46" max="12" man="1"/>
    <brk id="159" max="12" man="1"/>
    <brk id="168" max="12" man="1"/>
    <brk id="188" max="12" man="1"/>
    <brk id="196" max="12" man="1"/>
    <brk id="221" max="12" man="1"/>
    <brk id="263" max="12"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P257"/>
  <sheetViews>
    <sheetView showZeros="0" view="pageBreakPreview" zoomScale="40" zoomScaleNormal="85" workbookViewId="0">
      <pane xSplit="3" ySplit="5" topLeftCell="D6" activePane="bottomRight" state="frozen"/>
      <selection/>
      <selection pane="topRight"/>
      <selection pane="bottomLeft"/>
      <selection pane="bottomRight" activeCell="B23" sqref="B23"/>
    </sheetView>
  </sheetViews>
  <sheetFormatPr defaultColWidth="9.14285714285714" defaultRowHeight="23.25"/>
  <cols>
    <col min="1" max="1" width="11.2857142857143" style="3" customWidth="1"/>
    <col min="2" max="2" width="28.7142857142857" style="3" customWidth="1"/>
    <col min="3" max="3" width="10.4285714285714" style="3" customWidth="1"/>
    <col min="4" max="4" width="19" style="3" customWidth="1"/>
    <col min="5" max="5" width="11" style="3" hidden="1" customWidth="1"/>
    <col min="6" max="6" width="1.85714285714286" style="3" hidden="1" customWidth="1"/>
    <col min="7" max="7" width="21.1428571428571" style="3" customWidth="1"/>
    <col min="8" max="8" width="18.2857142857143" style="3" customWidth="1"/>
    <col min="9" max="9" width="19.7142857142857" style="3" customWidth="1"/>
    <col min="10" max="10" width="26.2857142857143" style="3" customWidth="1"/>
    <col min="11" max="11" width="51.2857142857143" style="4" hidden="1" customWidth="1"/>
    <col min="12" max="12" width="68.4285714285714" style="4" customWidth="1"/>
    <col min="13" max="13" width="33.7142857142857" style="4" customWidth="1"/>
    <col min="14" max="14" width="9.14285714285714" style="5" hidden="1" customWidth="1"/>
    <col min="15" max="34" width="9.14285714285714" style="5" customWidth="1"/>
    <col min="35" max="16384" width="9.14285714285714" style="5"/>
  </cols>
  <sheetData>
    <row r="1" s="1" customFormat="1" ht="73.5" customHeight="1" spans="1:16">
      <c r="A1" s="6" t="s">
        <v>709</v>
      </c>
      <c r="B1" s="6"/>
      <c r="C1" s="6"/>
      <c r="D1" s="6"/>
      <c r="E1" s="6"/>
      <c r="F1" s="6"/>
      <c r="G1" s="6"/>
      <c r="H1" s="6"/>
      <c r="I1" s="6"/>
      <c r="J1" s="6"/>
      <c r="K1" s="6"/>
      <c r="L1" s="6"/>
      <c r="M1" s="6"/>
      <c r="O1" s="7"/>
      <c r="P1" s="8"/>
    </row>
    <row r="2" customHeight="1" spans="1:16">
      <c r="A2" s="9" t="s">
        <v>1</v>
      </c>
      <c r="B2" s="10" t="s">
        <v>2</v>
      </c>
      <c r="C2" s="10" t="s">
        <v>3</v>
      </c>
      <c r="D2" s="11" t="s">
        <v>4</v>
      </c>
      <c r="E2" s="12"/>
      <c r="F2" s="12"/>
      <c r="G2" s="13" t="s">
        <v>403</v>
      </c>
      <c r="H2" s="14" t="s">
        <v>6</v>
      </c>
      <c r="I2" s="15"/>
      <c r="J2" s="10" t="s">
        <v>7</v>
      </c>
      <c r="K2" s="10" t="s">
        <v>8</v>
      </c>
      <c r="L2" s="10" t="s">
        <v>9</v>
      </c>
      <c r="M2" s="10" t="s">
        <v>10</v>
      </c>
    </row>
    <row r="3" s="1" customFormat="1" ht="12" customHeight="1" spans="1:16">
      <c r="A3" s="16"/>
      <c r="B3" s="17"/>
      <c r="C3" s="17"/>
      <c r="D3" s="18"/>
      <c r="E3" s="10" t="s">
        <v>404</v>
      </c>
      <c r="F3" s="19" t="s">
        <v>405</v>
      </c>
      <c r="G3" s="20"/>
      <c r="H3" s="21" t="s">
        <v>13</v>
      </c>
      <c r="I3" s="19" t="s">
        <v>14</v>
      </c>
      <c r="J3" s="17"/>
      <c r="K3" s="17"/>
      <c r="L3" s="17"/>
      <c r="M3" s="17"/>
      <c r="O3" s="7"/>
      <c r="P3" s="8"/>
    </row>
    <row r="4" s="1" customFormat="1" ht="44.25" customHeight="1" spans="1:16">
      <c r="A4" s="22"/>
      <c r="B4" s="23"/>
      <c r="C4" s="23"/>
      <c r="D4" s="24"/>
      <c r="E4" s="23"/>
      <c r="F4" s="25"/>
      <c r="G4" s="26"/>
      <c r="H4" s="27"/>
      <c r="I4" s="25"/>
      <c r="J4" s="17"/>
      <c r="K4" s="17"/>
      <c r="L4" s="17"/>
      <c r="M4" s="17"/>
      <c r="O4" s="7"/>
      <c r="P4" s="8"/>
    </row>
    <row r="5" s="1" customFormat="1" ht="31.5" customHeight="1" spans="1:16">
      <c r="A5" s="28" t="s">
        <v>15</v>
      </c>
      <c r="B5" s="29"/>
      <c r="C5" s="30" t="s">
        <v>16</v>
      </c>
      <c r="D5" s="31" t="s">
        <v>17</v>
      </c>
      <c r="E5" s="30" t="s">
        <v>19</v>
      </c>
      <c r="F5" s="31" t="s">
        <v>406</v>
      </c>
      <c r="G5" s="31" t="s">
        <v>18</v>
      </c>
      <c r="H5" s="32" t="s">
        <v>19</v>
      </c>
      <c r="I5" s="31" t="s">
        <v>406</v>
      </c>
      <c r="J5" s="23"/>
      <c r="K5" s="23"/>
      <c r="L5" s="23"/>
      <c r="M5" s="23"/>
      <c r="O5" s="7"/>
      <c r="P5" s="8"/>
    </row>
    <row r="6" s="1" customFormat="1" ht="74.25" customHeight="1" spans="1:16">
      <c r="A6" s="33" t="s">
        <v>29</v>
      </c>
      <c r="B6" s="34" t="s">
        <v>30</v>
      </c>
      <c r="C6" s="30" t="s">
        <v>23</v>
      </c>
      <c r="D6" s="31">
        <v>1</v>
      </c>
      <c r="E6" s="35">
        <v>5000</v>
      </c>
      <c r="F6" s="35">
        <f>IFERROR(ROUND(D6*E6,0),"")</f>
        <v>5000</v>
      </c>
      <c r="G6" s="30"/>
      <c r="H6" s="36">
        <v>70000</v>
      </c>
      <c r="I6" s="37">
        <f>ROUND(D6*H6,0)</f>
        <v>70000</v>
      </c>
      <c r="J6" s="38" t="s">
        <v>407</v>
      </c>
      <c r="K6" s="39" t="s">
        <v>408</v>
      </c>
      <c r="L6" s="40" t="s">
        <v>409</v>
      </c>
      <c r="M6" s="35"/>
      <c r="O6" s="7"/>
      <c r="P6" s="8"/>
    </row>
    <row r="7" s="1" customFormat="1" ht="74.25" customHeight="1" spans="1:16">
      <c r="A7" s="33"/>
      <c r="B7" s="34" t="s">
        <v>410</v>
      </c>
      <c r="C7" s="30" t="s">
        <v>23</v>
      </c>
      <c r="D7" s="31">
        <v>1</v>
      </c>
      <c r="E7" s="35"/>
      <c r="F7" s="35"/>
      <c r="G7" s="30"/>
      <c r="H7" s="36">
        <f>3500000*0.01</f>
        <v>35000</v>
      </c>
      <c r="I7" s="37">
        <f>ROUND(D7*H7,0)</f>
        <v>35000</v>
      </c>
      <c r="J7" s="38" t="s">
        <v>407</v>
      </c>
      <c r="K7" s="39" t="s">
        <v>408</v>
      </c>
      <c r="L7" s="40" t="s">
        <v>411</v>
      </c>
      <c r="M7" s="35"/>
      <c r="O7" s="7"/>
      <c r="P7" s="8"/>
    </row>
    <row r="8" s="2" customFormat="1" ht="22.5" spans="1:16">
      <c r="A8" s="41" t="s">
        <v>412</v>
      </c>
      <c r="B8" s="41" t="s">
        <v>413</v>
      </c>
      <c r="C8" s="41" t="s">
        <v>145</v>
      </c>
      <c r="D8" s="42">
        <v>0</v>
      </c>
      <c r="E8" s="43"/>
      <c r="F8" s="35">
        <f t="shared" ref="F8:F17" si="0">IFERROR(ROUND(D8*E8,0),"")</f>
        <v>0</v>
      </c>
      <c r="G8" s="44"/>
      <c r="H8" s="45"/>
      <c r="I8" s="37">
        <f t="shared" ref="I8:I17" si="1">ROUND(D8*H8,0)</f>
        <v>0</v>
      </c>
      <c r="J8" s="46"/>
      <c r="K8" s="46"/>
      <c r="L8" s="46"/>
      <c r="M8" s="46"/>
    </row>
    <row r="9" s="2" customFormat="1" ht="22.5" spans="1:16">
      <c r="A9" s="41" t="s">
        <v>414</v>
      </c>
      <c r="B9" s="41" t="s">
        <v>415</v>
      </c>
      <c r="C9" s="41" t="s">
        <v>145</v>
      </c>
      <c r="D9" s="42">
        <v>0</v>
      </c>
      <c r="E9" s="43"/>
      <c r="F9" s="35">
        <f t="shared" si="0"/>
        <v>0</v>
      </c>
      <c r="G9" s="44"/>
      <c r="H9" s="45"/>
      <c r="I9" s="37">
        <f t="shared" si="1"/>
        <v>0</v>
      </c>
      <c r="J9" s="46"/>
      <c r="K9" s="46"/>
      <c r="L9" s="46"/>
      <c r="M9" s="46"/>
    </row>
    <row r="10" s="2" customFormat="1" ht="70.5" customHeight="1" spans="1:16">
      <c r="A10" s="41" t="s">
        <v>94</v>
      </c>
      <c r="B10" s="41" t="s">
        <v>416</v>
      </c>
      <c r="C10" s="41" t="s">
        <v>39</v>
      </c>
      <c r="D10" s="42">
        <v>748.2</v>
      </c>
      <c r="E10" s="43">
        <v>15</v>
      </c>
      <c r="F10" s="35">
        <f t="shared" si="0"/>
        <v>11223</v>
      </c>
      <c r="G10" s="44">
        <v>208.32</v>
      </c>
      <c r="H10" s="36">
        <v>15</v>
      </c>
      <c r="I10" s="47">
        <f t="shared" si="1"/>
        <v>11223</v>
      </c>
      <c r="J10" s="46" t="s">
        <v>417</v>
      </c>
      <c r="K10" s="46" t="s">
        <v>418</v>
      </c>
      <c r="L10" s="46" t="s">
        <v>419</v>
      </c>
      <c r="M10" s="46"/>
    </row>
    <row r="11" s="2" customFormat="1" ht="22.5" spans="1:16">
      <c r="A11" s="41" t="s">
        <v>420</v>
      </c>
      <c r="B11" s="41" t="s">
        <v>421</v>
      </c>
      <c r="C11" s="41" t="s">
        <v>145</v>
      </c>
      <c r="D11" s="42">
        <v>0</v>
      </c>
      <c r="E11" s="43"/>
      <c r="F11" s="35">
        <f t="shared" si="0"/>
        <v>0</v>
      </c>
      <c r="G11" s="44"/>
      <c r="H11" s="45"/>
      <c r="I11" s="37">
        <f t="shared" si="1"/>
        <v>0</v>
      </c>
      <c r="J11" s="46"/>
      <c r="K11" s="46"/>
      <c r="L11" s="46"/>
      <c r="M11" s="46"/>
    </row>
    <row r="12" s="2" customFormat="1" ht="22.5" spans="1:16">
      <c r="A12" s="41" t="s">
        <v>98</v>
      </c>
      <c r="B12" s="41" t="s">
        <v>422</v>
      </c>
      <c r="C12" s="41" t="s">
        <v>145</v>
      </c>
      <c r="D12" s="42">
        <v>0</v>
      </c>
      <c r="E12" s="43"/>
      <c r="F12" s="35">
        <f t="shared" si="0"/>
        <v>0</v>
      </c>
      <c r="G12" s="44"/>
      <c r="H12" s="45"/>
      <c r="I12" s="37">
        <f t="shared" si="1"/>
        <v>0</v>
      </c>
      <c r="J12" s="46"/>
      <c r="K12" s="46"/>
      <c r="L12" s="46"/>
      <c r="M12" s="46"/>
    </row>
    <row r="13" s="2" customFormat="1" ht="123.75" customHeight="1" spans="1:16">
      <c r="A13" s="41" t="s">
        <v>78</v>
      </c>
      <c r="B13" s="41" t="s">
        <v>423</v>
      </c>
      <c r="C13" s="41" t="s">
        <v>39</v>
      </c>
      <c r="D13" s="42">
        <v>518.5</v>
      </c>
      <c r="E13" s="43">
        <v>130</v>
      </c>
      <c r="F13" s="35">
        <f t="shared" si="0"/>
        <v>67405</v>
      </c>
      <c r="G13" s="44">
        <v>784.34</v>
      </c>
      <c r="H13" s="48">
        <v>140</v>
      </c>
      <c r="I13" s="47">
        <f t="shared" si="1"/>
        <v>72590</v>
      </c>
      <c r="J13" s="46" t="s">
        <v>424</v>
      </c>
      <c r="K13" s="46" t="s">
        <v>418</v>
      </c>
      <c r="L13" s="49" t="s">
        <v>425</v>
      </c>
      <c r="M13" s="49" t="s">
        <v>426</v>
      </c>
    </row>
    <row r="14" s="2" customFormat="1" ht="22.5" spans="1:16">
      <c r="A14" s="41" t="s">
        <v>427</v>
      </c>
      <c r="B14" s="41" t="s">
        <v>428</v>
      </c>
      <c r="C14" s="41" t="s">
        <v>145</v>
      </c>
      <c r="D14" s="42">
        <v>0</v>
      </c>
      <c r="E14" s="43"/>
      <c r="F14" s="35">
        <f t="shared" si="0"/>
        <v>0</v>
      </c>
      <c r="G14" s="44"/>
      <c r="H14" s="45"/>
      <c r="I14" s="37">
        <f t="shared" si="1"/>
        <v>0</v>
      </c>
      <c r="J14" s="46"/>
      <c r="K14" s="46"/>
      <c r="L14" s="46"/>
      <c r="M14" s="46"/>
    </row>
    <row r="15" s="2" customFormat="1" ht="22.5" spans="1:16">
      <c r="A15" s="41" t="s">
        <v>94</v>
      </c>
      <c r="B15" s="41" t="s">
        <v>196</v>
      </c>
      <c r="C15" s="41" t="s">
        <v>145</v>
      </c>
      <c r="D15" s="42">
        <v>0</v>
      </c>
      <c r="E15" s="43"/>
      <c r="F15" s="35">
        <f t="shared" si="0"/>
        <v>0</v>
      </c>
      <c r="G15" s="44"/>
      <c r="H15" s="45"/>
      <c r="I15" s="37">
        <f t="shared" si="1"/>
        <v>0</v>
      </c>
      <c r="J15" s="46"/>
      <c r="K15" s="46"/>
      <c r="L15" s="46"/>
      <c r="M15" s="46"/>
    </row>
    <row r="16" s="2" customFormat="1" ht="141.75" customHeight="1" spans="1:16">
      <c r="A16" s="41" t="s">
        <v>37</v>
      </c>
      <c r="B16" s="41" t="s">
        <v>203</v>
      </c>
      <c r="C16" s="41" t="s">
        <v>39</v>
      </c>
      <c r="D16" s="42">
        <v>113.7</v>
      </c>
      <c r="E16" s="43">
        <v>120</v>
      </c>
      <c r="F16" s="35">
        <f t="shared" si="0"/>
        <v>13644</v>
      </c>
      <c r="G16" s="44">
        <v>827.48</v>
      </c>
      <c r="H16" s="36">
        <v>140</v>
      </c>
      <c r="I16" s="47">
        <f t="shared" si="1"/>
        <v>15918</v>
      </c>
      <c r="J16" s="46" t="s">
        <v>424</v>
      </c>
      <c r="K16" s="46" t="s">
        <v>418</v>
      </c>
      <c r="L16" s="49" t="s">
        <v>710</v>
      </c>
      <c r="M16" s="49" t="s">
        <v>426</v>
      </c>
    </row>
    <row r="17" s="2" customFormat="1" ht="145.5" customHeight="1" spans="1:13">
      <c r="A17" s="41" t="s">
        <v>43</v>
      </c>
      <c r="B17" s="41" t="s">
        <v>197</v>
      </c>
      <c r="C17" s="41" t="s">
        <v>39</v>
      </c>
      <c r="D17" s="42">
        <v>4816.4</v>
      </c>
      <c r="E17" s="43">
        <v>120</v>
      </c>
      <c r="F17" s="35">
        <f t="shared" si="0"/>
        <v>577968</v>
      </c>
      <c r="G17" s="44">
        <v>780.17</v>
      </c>
      <c r="H17" s="36">
        <v>140</v>
      </c>
      <c r="I17" s="47">
        <f t="shared" si="1"/>
        <v>674296</v>
      </c>
      <c r="J17" s="46" t="s">
        <v>424</v>
      </c>
      <c r="K17" s="46" t="s">
        <v>418</v>
      </c>
      <c r="L17" s="49" t="s">
        <v>431</v>
      </c>
      <c r="M17" s="49" t="s">
        <v>426</v>
      </c>
    </row>
    <row r="18" s="2" customFormat="1" ht="106.5" customHeight="1" spans="1:13">
      <c r="A18" s="50">
        <v>4</v>
      </c>
      <c r="B18" s="51" t="s">
        <v>711</v>
      </c>
      <c r="C18" s="51"/>
      <c r="D18" s="42" t="s">
        <v>145</v>
      </c>
      <c r="E18" s="52"/>
      <c r="F18" s="35" t="str">
        <f t="shared" ref="F18:F49" si="2">IFERROR(ROUND(D18*E18,0),"")</f>
        <v/>
      </c>
      <c r="G18" s="53" t="s">
        <v>145</v>
      </c>
      <c r="H18" s="45"/>
      <c r="I18" s="37"/>
      <c r="J18" s="52"/>
      <c r="K18" s="54"/>
      <c r="L18" s="54"/>
      <c r="M18" s="54"/>
    </row>
    <row r="19" s="2" customFormat="1" ht="22.5" spans="1:13">
      <c r="A19" s="55" t="s">
        <v>433</v>
      </c>
      <c r="B19" s="56" t="s">
        <v>223</v>
      </c>
      <c r="C19" s="55" t="s">
        <v>145</v>
      </c>
      <c r="D19" s="42"/>
      <c r="E19" s="52"/>
      <c r="F19" s="35">
        <f t="shared" si="2"/>
        <v>0</v>
      </c>
      <c r="G19" s="57"/>
      <c r="H19" s="45"/>
      <c r="I19" s="37">
        <f t="shared" ref="I19:I50" si="3">ROUND(D19*H19,0)</f>
        <v>0</v>
      </c>
      <c r="J19" s="52"/>
      <c r="K19" s="58"/>
      <c r="L19" s="58"/>
      <c r="M19" s="54"/>
    </row>
    <row r="20" s="2" customFormat="1" ht="102" customHeight="1" spans="1:13">
      <c r="A20" s="55" t="s">
        <v>434</v>
      </c>
      <c r="B20" s="56" t="s">
        <v>435</v>
      </c>
      <c r="C20" s="55" t="s">
        <v>145</v>
      </c>
      <c r="D20" s="42"/>
      <c r="E20" s="52"/>
      <c r="F20" s="35">
        <f t="shared" si="2"/>
        <v>0</v>
      </c>
      <c r="G20" s="57"/>
      <c r="H20" s="45"/>
      <c r="I20" s="37">
        <f t="shared" si="3"/>
        <v>0</v>
      </c>
      <c r="J20" s="52"/>
      <c r="K20" s="58"/>
      <c r="L20" s="58"/>
      <c r="M20" s="54"/>
    </row>
    <row r="21" s="2" customFormat="1" ht="130.5" customHeight="1" spans="1:13">
      <c r="A21" s="55" t="s">
        <v>98</v>
      </c>
      <c r="B21" s="56" t="s">
        <v>436</v>
      </c>
      <c r="C21" s="55" t="s">
        <v>437</v>
      </c>
      <c r="D21" s="59">
        <f>84250+1933</f>
        <v>86183</v>
      </c>
      <c r="E21" s="52">
        <v>0.68</v>
      </c>
      <c r="F21" s="35">
        <f t="shared" si="2"/>
        <v>58604</v>
      </c>
      <c r="G21" s="57">
        <v>5.8</v>
      </c>
      <c r="H21" s="36">
        <v>0.7</v>
      </c>
      <c r="I21" s="47">
        <f t="shared" si="3"/>
        <v>60328</v>
      </c>
      <c r="J21" s="46" t="s">
        <v>438</v>
      </c>
      <c r="K21" s="46" t="s">
        <v>418</v>
      </c>
      <c r="L21" s="60" t="s">
        <v>500</v>
      </c>
      <c r="M21" s="46"/>
    </row>
    <row r="22" s="2" customFormat="1" ht="22.5" spans="1:13">
      <c r="A22" s="55" t="s">
        <v>440</v>
      </c>
      <c r="B22" s="56" t="s">
        <v>441</v>
      </c>
      <c r="C22" s="55" t="s">
        <v>145</v>
      </c>
      <c r="D22" s="42"/>
      <c r="E22" s="52"/>
      <c r="F22" s="35">
        <f t="shared" si="2"/>
        <v>0</v>
      </c>
      <c r="G22" s="57"/>
      <c r="H22" s="45"/>
      <c r="I22" s="37">
        <f t="shared" si="3"/>
        <v>0</v>
      </c>
      <c r="J22" s="52"/>
      <c r="K22" s="58"/>
      <c r="L22" s="58"/>
      <c r="M22" s="54"/>
    </row>
    <row r="23" s="2" customFormat="1" ht="126" customHeight="1" spans="1:13">
      <c r="A23" s="55" t="s">
        <v>98</v>
      </c>
      <c r="B23" s="56" t="s">
        <v>436</v>
      </c>
      <c r="C23" s="55" t="s">
        <v>437</v>
      </c>
      <c r="D23" s="59">
        <f>141945+4906</f>
        <v>146851</v>
      </c>
      <c r="E23" s="52">
        <v>0.68</v>
      </c>
      <c r="F23" s="35">
        <f t="shared" si="2"/>
        <v>99859</v>
      </c>
      <c r="G23" s="57">
        <v>6.06</v>
      </c>
      <c r="H23" s="36">
        <v>0.74</v>
      </c>
      <c r="I23" s="47">
        <f t="shared" si="3"/>
        <v>108670</v>
      </c>
      <c r="J23" s="46" t="s">
        <v>438</v>
      </c>
      <c r="K23" s="46" t="s">
        <v>418</v>
      </c>
      <c r="L23" s="60" t="s">
        <v>500</v>
      </c>
      <c r="M23" s="46"/>
    </row>
    <row r="24" s="2" customFormat="1" ht="50.25" customHeight="1" spans="1:13">
      <c r="A24" s="55" t="s">
        <v>56</v>
      </c>
      <c r="B24" s="56" t="s">
        <v>222</v>
      </c>
      <c r="C24" s="55" t="s">
        <v>437</v>
      </c>
      <c r="D24" s="42">
        <v>2267</v>
      </c>
      <c r="E24" s="52">
        <v>0.68</v>
      </c>
      <c r="F24" s="35">
        <f t="shared" si="2"/>
        <v>1542</v>
      </c>
      <c r="G24" s="57">
        <v>7.97</v>
      </c>
      <c r="H24" s="43">
        <v>0.73</v>
      </c>
      <c r="I24" s="37">
        <f t="shared" si="3"/>
        <v>1655</v>
      </c>
      <c r="J24" s="46" t="s">
        <v>533</v>
      </c>
      <c r="K24" s="46" t="s">
        <v>418</v>
      </c>
      <c r="L24" s="61" t="s">
        <v>534</v>
      </c>
      <c r="M24" s="54"/>
    </row>
    <row r="25" s="2" customFormat="1" ht="22.5" spans="1:13">
      <c r="A25" s="55" t="s">
        <v>446</v>
      </c>
      <c r="B25" s="56" t="s">
        <v>447</v>
      </c>
      <c r="C25" s="55" t="s">
        <v>145</v>
      </c>
      <c r="D25" s="42"/>
      <c r="E25" s="52"/>
      <c r="F25" s="35">
        <f t="shared" si="2"/>
        <v>0</v>
      </c>
      <c r="G25" s="57"/>
      <c r="H25" s="45"/>
      <c r="I25" s="37">
        <f t="shared" si="3"/>
        <v>0</v>
      </c>
      <c r="J25" s="52"/>
      <c r="K25" s="58"/>
      <c r="L25" s="58"/>
      <c r="M25" s="54"/>
    </row>
    <row r="26" s="2" customFormat="1" ht="127.5" customHeight="1" spans="1:13">
      <c r="A26" s="55" t="s">
        <v>98</v>
      </c>
      <c r="B26" s="56" t="s">
        <v>436</v>
      </c>
      <c r="C26" s="55" t="s">
        <v>437</v>
      </c>
      <c r="D26" s="42">
        <v>4909</v>
      </c>
      <c r="E26" s="52">
        <v>0.68</v>
      </c>
      <c r="F26" s="35">
        <f t="shared" si="2"/>
        <v>3338</v>
      </c>
      <c r="G26" s="57">
        <v>6.17</v>
      </c>
      <c r="H26" s="36">
        <v>0.73</v>
      </c>
      <c r="I26" s="47">
        <f t="shared" si="3"/>
        <v>3584</v>
      </c>
      <c r="J26" s="46" t="s">
        <v>438</v>
      </c>
      <c r="K26" s="46" t="s">
        <v>418</v>
      </c>
      <c r="L26" s="60" t="s">
        <v>500</v>
      </c>
      <c r="M26" s="46"/>
    </row>
    <row r="27" s="2" customFormat="1" ht="22.5" spans="1:13">
      <c r="A27" s="55" t="s">
        <v>448</v>
      </c>
      <c r="B27" s="56" t="s">
        <v>449</v>
      </c>
      <c r="C27" s="55" t="s">
        <v>145</v>
      </c>
      <c r="D27" s="42"/>
      <c r="E27" s="52"/>
      <c r="F27" s="35">
        <f t="shared" si="2"/>
        <v>0</v>
      </c>
      <c r="G27" s="57"/>
      <c r="H27" s="45"/>
      <c r="I27" s="37">
        <f t="shared" si="3"/>
        <v>0</v>
      </c>
      <c r="J27" s="52"/>
      <c r="K27" s="58"/>
      <c r="L27" s="58"/>
      <c r="M27" s="54"/>
    </row>
    <row r="28" s="2" customFormat="1" ht="97.5" customHeight="1" spans="1:13">
      <c r="A28" s="55" t="s">
        <v>450</v>
      </c>
      <c r="B28" s="56" t="s">
        <v>451</v>
      </c>
      <c r="C28" s="55" t="s">
        <v>39</v>
      </c>
      <c r="D28" s="42">
        <v>226.65</v>
      </c>
      <c r="E28" s="52">
        <v>12</v>
      </c>
      <c r="F28" s="35">
        <f t="shared" si="2"/>
        <v>2720</v>
      </c>
      <c r="G28" s="57">
        <v>19.96</v>
      </c>
      <c r="H28" s="36">
        <v>12</v>
      </c>
      <c r="I28" s="47">
        <f t="shared" si="3"/>
        <v>2720</v>
      </c>
      <c r="J28" s="46" t="s">
        <v>25</v>
      </c>
      <c r="K28" s="46" t="s">
        <v>418</v>
      </c>
      <c r="L28" s="60" t="s">
        <v>452</v>
      </c>
      <c r="M28" s="54"/>
    </row>
    <row r="29" s="2" customFormat="1" ht="22.5" spans="1:13">
      <c r="A29" s="55" t="s">
        <v>456</v>
      </c>
      <c r="B29" s="56" t="s">
        <v>457</v>
      </c>
      <c r="C29" s="55" t="s">
        <v>145</v>
      </c>
      <c r="D29" s="42"/>
      <c r="E29" s="52"/>
      <c r="F29" s="35">
        <f t="shared" si="2"/>
        <v>0</v>
      </c>
      <c r="G29" s="57"/>
      <c r="H29" s="45"/>
      <c r="I29" s="37">
        <f t="shared" si="3"/>
        <v>0</v>
      </c>
      <c r="J29" s="52"/>
      <c r="K29" s="58"/>
      <c r="L29" s="58"/>
      <c r="M29" s="54"/>
    </row>
    <row r="30" s="2" customFormat="1" ht="22.5" spans="1:13">
      <c r="A30" s="55" t="s">
        <v>458</v>
      </c>
      <c r="B30" s="56" t="s">
        <v>457</v>
      </c>
      <c r="C30" s="55" t="s">
        <v>145</v>
      </c>
      <c r="D30" s="42"/>
      <c r="E30" s="52"/>
      <c r="F30" s="35">
        <f t="shared" si="2"/>
        <v>0</v>
      </c>
      <c r="G30" s="57"/>
      <c r="H30" s="45"/>
      <c r="I30" s="37">
        <f t="shared" si="3"/>
        <v>0</v>
      </c>
      <c r="J30" s="52"/>
      <c r="K30" s="58"/>
      <c r="L30" s="58"/>
      <c r="M30" s="54"/>
    </row>
    <row r="31" s="2" customFormat="1" ht="22.5" spans="1:13">
      <c r="A31" s="55" t="s">
        <v>94</v>
      </c>
      <c r="B31" s="56" t="s">
        <v>459</v>
      </c>
      <c r="C31" s="55" t="s">
        <v>145</v>
      </c>
      <c r="D31" s="42"/>
      <c r="E31" s="52"/>
      <c r="F31" s="35">
        <f t="shared" si="2"/>
        <v>0</v>
      </c>
      <c r="G31" s="57"/>
      <c r="H31" s="45"/>
      <c r="I31" s="37">
        <f t="shared" si="3"/>
        <v>0</v>
      </c>
      <c r="J31" s="52"/>
      <c r="K31" s="58"/>
      <c r="L31" s="58"/>
      <c r="M31" s="54"/>
    </row>
    <row r="32" s="2" customFormat="1" ht="192.75" customHeight="1" spans="1:13">
      <c r="A32" s="55" t="s">
        <v>37</v>
      </c>
      <c r="B32" s="62" t="s">
        <v>460</v>
      </c>
      <c r="C32" s="55" t="s">
        <v>85</v>
      </c>
      <c r="D32" s="42">
        <v>96</v>
      </c>
      <c r="E32" s="52">
        <v>955</v>
      </c>
      <c r="F32" s="35">
        <f t="shared" si="2"/>
        <v>91680</v>
      </c>
      <c r="G32" s="57">
        <v>2524.03</v>
      </c>
      <c r="H32" s="43">
        <v>750</v>
      </c>
      <c r="I32" s="37">
        <f t="shared" si="3"/>
        <v>72000</v>
      </c>
      <c r="J32" s="46" t="s">
        <v>461</v>
      </c>
      <c r="K32" s="46" t="s">
        <v>418</v>
      </c>
      <c r="L32" s="59" t="s">
        <v>712</v>
      </c>
      <c r="M32" s="49" t="s">
        <v>463</v>
      </c>
    </row>
    <row r="33" s="2" customFormat="1" ht="194.25" customHeight="1" spans="1:13">
      <c r="A33" s="55" t="s">
        <v>46</v>
      </c>
      <c r="B33" s="62" t="s">
        <v>713</v>
      </c>
      <c r="C33" s="55" t="s">
        <v>85</v>
      </c>
      <c r="D33" s="42">
        <v>300</v>
      </c>
      <c r="E33" s="52">
        <v>1055</v>
      </c>
      <c r="F33" s="35">
        <f t="shared" si="2"/>
        <v>316500</v>
      </c>
      <c r="G33" s="57">
        <v>3198.67</v>
      </c>
      <c r="H33" s="63">
        <v>860</v>
      </c>
      <c r="I33" s="37">
        <f t="shared" si="3"/>
        <v>258000</v>
      </c>
      <c r="J33" s="46" t="s">
        <v>461</v>
      </c>
      <c r="K33" s="46" t="s">
        <v>418</v>
      </c>
      <c r="L33" s="58" t="s">
        <v>502</v>
      </c>
      <c r="M33" s="49" t="s">
        <v>714</v>
      </c>
    </row>
    <row r="34" s="2" customFormat="1" ht="22.5" spans="1:13">
      <c r="A34" s="55" t="s">
        <v>464</v>
      </c>
      <c r="B34" s="56" t="s">
        <v>465</v>
      </c>
      <c r="C34" s="55" t="s">
        <v>145</v>
      </c>
      <c r="D34" s="42"/>
      <c r="E34" s="52"/>
      <c r="F34" s="35">
        <f t="shared" si="2"/>
        <v>0</v>
      </c>
      <c r="G34" s="57"/>
      <c r="H34" s="45"/>
      <c r="I34" s="37">
        <f t="shared" si="3"/>
        <v>0</v>
      </c>
      <c r="J34" s="52"/>
      <c r="K34" s="58"/>
      <c r="L34" s="58"/>
      <c r="M34" s="54"/>
    </row>
    <row r="35" s="2" customFormat="1" ht="97.5" customHeight="1" spans="1:13">
      <c r="A35" s="55" t="s">
        <v>466</v>
      </c>
      <c r="B35" s="56" t="s">
        <v>467</v>
      </c>
      <c r="C35" s="55" t="s">
        <v>145</v>
      </c>
      <c r="D35" s="42"/>
      <c r="E35" s="52"/>
      <c r="F35" s="35">
        <f t="shared" si="2"/>
        <v>0</v>
      </c>
      <c r="G35" s="57"/>
      <c r="H35" s="45"/>
      <c r="I35" s="37">
        <f t="shared" si="3"/>
        <v>0</v>
      </c>
      <c r="J35" s="52"/>
      <c r="K35" s="58"/>
      <c r="L35" s="58"/>
      <c r="M35" s="54"/>
    </row>
    <row r="36" s="2" customFormat="1" ht="117" customHeight="1" spans="1:13">
      <c r="A36" s="55" t="s">
        <v>94</v>
      </c>
      <c r="B36" s="56" t="s">
        <v>715</v>
      </c>
      <c r="C36" s="55" t="s">
        <v>39</v>
      </c>
      <c r="D36" s="59">
        <v>70</v>
      </c>
      <c r="E36" s="52">
        <v>150</v>
      </c>
      <c r="F36" s="35">
        <f t="shared" si="2"/>
        <v>10500</v>
      </c>
      <c r="G36" s="57">
        <v>770.16</v>
      </c>
      <c r="H36" s="36">
        <v>140</v>
      </c>
      <c r="I36" s="47">
        <f t="shared" si="3"/>
        <v>9800</v>
      </c>
      <c r="J36" s="46" t="s">
        <v>424</v>
      </c>
      <c r="K36" s="46" t="s">
        <v>418</v>
      </c>
      <c r="L36" s="64" t="s">
        <v>472</v>
      </c>
      <c r="M36" s="49" t="s">
        <v>470</v>
      </c>
    </row>
    <row r="37" s="2" customFormat="1" ht="22.5" spans="1:13">
      <c r="A37" s="55" t="s">
        <v>473</v>
      </c>
      <c r="B37" s="56" t="s">
        <v>474</v>
      </c>
      <c r="C37" s="55" t="s">
        <v>145</v>
      </c>
      <c r="D37" s="42"/>
      <c r="E37" s="52"/>
      <c r="F37" s="35">
        <f t="shared" si="2"/>
        <v>0</v>
      </c>
      <c r="G37" s="57"/>
      <c r="H37" s="45"/>
      <c r="I37" s="37">
        <f t="shared" si="3"/>
        <v>0</v>
      </c>
      <c r="J37" s="52"/>
      <c r="K37" s="58"/>
      <c r="L37" s="58"/>
      <c r="M37" s="54"/>
    </row>
    <row r="38" s="2" customFormat="1" ht="22.5" spans="1:13">
      <c r="A38" s="55" t="s">
        <v>98</v>
      </c>
      <c r="B38" s="56" t="s">
        <v>539</v>
      </c>
      <c r="C38" s="55" t="s">
        <v>145</v>
      </c>
      <c r="D38" s="42"/>
      <c r="E38" s="52"/>
      <c r="F38" s="35">
        <f t="shared" si="2"/>
        <v>0</v>
      </c>
      <c r="G38" s="57"/>
      <c r="H38" s="45"/>
      <c r="I38" s="37">
        <f t="shared" si="3"/>
        <v>0</v>
      </c>
      <c r="J38" s="52"/>
      <c r="K38" s="58"/>
      <c r="L38" s="58"/>
      <c r="M38" s="54"/>
    </row>
    <row r="39" s="2" customFormat="1" ht="101.25" customHeight="1" spans="1:13">
      <c r="A39" s="55" t="s">
        <v>78</v>
      </c>
      <c r="B39" s="56" t="s">
        <v>716</v>
      </c>
      <c r="C39" s="55" t="s">
        <v>39</v>
      </c>
      <c r="D39" s="59">
        <v>381.9</v>
      </c>
      <c r="E39" s="52">
        <v>260</v>
      </c>
      <c r="F39" s="35">
        <f t="shared" si="2"/>
        <v>99294</v>
      </c>
      <c r="G39" s="57">
        <v>1016.05</v>
      </c>
      <c r="H39" s="45">
        <v>320</v>
      </c>
      <c r="I39" s="37">
        <f t="shared" si="3"/>
        <v>122208</v>
      </c>
      <c r="J39" s="46" t="s">
        <v>424</v>
      </c>
      <c r="K39" s="46" t="s">
        <v>418</v>
      </c>
      <c r="L39" s="64" t="s">
        <v>481</v>
      </c>
      <c r="M39" s="49" t="s">
        <v>470</v>
      </c>
    </row>
    <row r="40" s="2" customFormat="1" ht="22.5" spans="1:13">
      <c r="A40" s="55" t="s">
        <v>50</v>
      </c>
      <c r="B40" s="56" t="s">
        <v>541</v>
      </c>
      <c r="C40" s="55" t="s">
        <v>145</v>
      </c>
      <c r="D40" s="42"/>
      <c r="E40" s="52"/>
      <c r="F40" s="35">
        <f t="shared" si="2"/>
        <v>0</v>
      </c>
      <c r="G40" s="57"/>
      <c r="H40" s="45"/>
      <c r="I40" s="37">
        <f t="shared" si="3"/>
        <v>0</v>
      </c>
      <c r="J40" s="52"/>
      <c r="K40" s="58"/>
      <c r="L40" s="58"/>
      <c r="M40" s="54"/>
    </row>
    <row r="41" s="2" customFormat="1" ht="105" customHeight="1" spans="1:13">
      <c r="A41" s="55" t="s">
        <v>52</v>
      </c>
      <c r="B41" s="56" t="s">
        <v>542</v>
      </c>
      <c r="C41" s="55" t="s">
        <v>39</v>
      </c>
      <c r="D41" s="42">
        <f>386.32-13.16</f>
        <v>373.16</v>
      </c>
      <c r="E41" s="52">
        <v>260</v>
      </c>
      <c r="F41" s="35">
        <f t="shared" si="2"/>
        <v>97022</v>
      </c>
      <c r="G41" s="57">
        <v>1069.85</v>
      </c>
      <c r="H41" s="36">
        <v>350</v>
      </c>
      <c r="I41" s="37">
        <f t="shared" si="3"/>
        <v>130606</v>
      </c>
      <c r="J41" s="46" t="s">
        <v>424</v>
      </c>
      <c r="K41" s="46" t="s">
        <v>418</v>
      </c>
      <c r="L41" s="64" t="s">
        <v>481</v>
      </c>
      <c r="M41" s="49" t="s">
        <v>470</v>
      </c>
    </row>
    <row r="42" s="2" customFormat="1" ht="22.5" spans="1:13">
      <c r="A42" s="55" t="s">
        <v>56</v>
      </c>
      <c r="B42" s="56" t="s">
        <v>479</v>
      </c>
      <c r="C42" s="55" t="s">
        <v>145</v>
      </c>
      <c r="D42" s="42"/>
      <c r="E42" s="52"/>
      <c r="F42" s="35">
        <f t="shared" si="2"/>
        <v>0</v>
      </c>
      <c r="G42" s="57"/>
      <c r="H42" s="45"/>
      <c r="I42" s="37">
        <f t="shared" si="3"/>
        <v>0</v>
      </c>
      <c r="J42" s="52"/>
      <c r="K42" s="58"/>
      <c r="L42" s="58"/>
      <c r="M42" s="54"/>
    </row>
    <row r="43" s="2" customFormat="1" ht="90.75" customHeight="1" spans="1:13">
      <c r="A43" s="55" t="s">
        <v>58</v>
      </c>
      <c r="B43" s="56" t="s">
        <v>506</v>
      </c>
      <c r="C43" s="55" t="s">
        <v>39</v>
      </c>
      <c r="D43" s="42">
        <v>44.8</v>
      </c>
      <c r="E43" s="52">
        <v>260</v>
      </c>
      <c r="F43" s="35">
        <f t="shared" si="2"/>
        <v>11648</v>
      </c>
      <c r="G43" s="57">
        <v>1118.88</v>
      </c>
      <c r="H43" s="36">
        <v>200</v>
      </c>
      <c r="I43" s="37">
        <f t="shared" si="3"/>
        <v>8960</v>
      </c>
      <c r="J43" s="46" t="s">
        <v>424</v>
      </c>
      <c r="K43" s="46" t="s">
        <v>418</v>
      </c>
      <c r="L43" s="64" t="s">
        <v>481</v>
      </c>
      <c r="M43" s="49" t="s">
        <v>470</v>
      </c>
    </row>
    <row r="44" s="2" customFormat="1" ht="45" spans="1:13">
      <c r="A44" s="55" t="s">
        <v>482</v>
      </c>
      <c r="B44" s="56" t="s">
        <v>483</v>
      </c>
      <c r="C44" s="55" t="s">
        <v>145</v>
      </c>
      <c r="D44" s="42"/>
      <c r="E44" s="52"/>
      <c r="F44" s="35">
        <f t="shared" si="2"/>
        <v>0</v>
      </c>
      <c r="G44" s="57"/>
      <c r="H44" s="45"/>
      <c r="I44" s="37">
        <f t="shared" si="3"/>
        <v>0</v>
      </c>
      <c r="J44" s="52"/>
      <c r="K44" s="58"/>
      <c r="L44" s="58"/>
      <c r="M44" s="54"/>
    </row>
    <row r="45" s="2" customFormat="1" ht="22.5" spans="1:13">
      <c r="A45" s="55" t="s">
        <v>94</v>
      </c>
      <c r="B45" s="56" t="s">
        <v>484</v>
      </c>
      <c r="C45" s="55" t="s">
        <v>145</v>
      </c>
      <c r="D45" s="42"/>
      <c r="E45" s="52"/>
      <c r="F45" s="35">
        <f t="shared" si="2"/>
        <v>0</v>
      </c>
      <c r="G45" s="57"/>
      <c r="H45" s="45"/>
      <c r="I45" s="37">
        <f t="shared" si="3"/>
        <v>0</v>
      </c>
      <c r="J45" s="52"/>
      <c r="K45" s="58"/>
      <c r="L45" s="58"/>
      <c r="M45" s="54"/>
    </row>
    <row r="46" s="2" customFormat="1" ht="104.25" customHeight="1" spans="1:13">
      <c r="A46" s="55" t="s">
        <v>37</v>
      </c>
      <c r="B46" s="56" t="s">
        <v>485</v>
      </c>
      <c r="C46" s="55" t="s">
        <v>39</v>
      </c>
      <c r="D46" s="42">
        <v>13.4</v>
      </c>
      <c r="E46" s="52">
        <v>350</v>
      </c>
      <c r="F46" s="35">
        <f t="shared" si="2"/>
        <v>4690</v>
      </c>
      <c r="G46" s="57">
        <v>1282.46</v>
      </c>
      <c r="H46" s="36">
        <v>400</v>
      </c>
      <c r="I46" s="37">
        <f t="shared" si="3"/>
        <v>5360</v>
      </c>
      <c r="J46" s="46" t="s">
        <v>424</v>
      </c>
      <c r="K46" s="46" t="s">
        <v>418</v>
      </c>
      <c r="L46" s="64" t="s">
        <v>717</v>
      </c>
      <c r="M46" s="49" t="s">
        <v>470</v>
      </c>
    </row>
    <row r="47" s="2" customFormat="1" ht="22.5" spans="1:13">
      <c r="A47" s="55" t="s">
        <v>62</v>
      </c>
      <c r="B47" s="56" t="s">
        <v>490</v>
      </c>
      <c r="C47" s="55" t="s">
        <v>145</v>
      </c>
      <c r="D47" s="42"/>
      <c r="E47" s="52"/>
      <c r="F47" s="35">
        <f t="shared" si="2"/>
        <v>0</v>
      </c>
      <c r="G47" s="57"/>
      <c r="H47" s="45"/>
      <c r="I47" s="37">
        <f t="shared" si="3"/>
        <v>0</v>
      </c>
      <c r="J47" s="52"/>
      <c r="K47" s="58"/>
      <c r="L47" s="58"/>
      <c r="M47" s="54"/>
    </row>
    <row r="48" s="2" customFormat="1" ht="103.5" customHeight="1" spans="1:13">
      <c r="A48" s="55" t="s">
        <v>64</v>
      </c>
      <c r="B48" s="56" t="s">
        <v>491</v>
      </c>
      <c r="C48" s="55" t="s">
        <v>39</v>
      </c>
      <c r="D48" s="42">
        <f>0.51*20+0.37*8</f>
        <v>13.16</v>
      </c>
      <c r="E48" s="52">
        <v>350</v>
      </c>
      <c r="F48" s="35">
        <f t="shared" si="2"/>
        <v>4606</v>
      </c>
      <c r="G48" s="57">
        <v>1286.43</v>
      </c>
      <c r="H48" s="36">
        <v>400</v>
      </c>
      <c r="I48" s="37">
        <f t="shared" si="3"/>
        <v>5264</v>
      </c>
      <c r="J48" s="46" t="s">
        <v>424</v>
      </c>
      <c r="K48" s="46" t="s">
        <v>418</v>
      </c>
      <c r="L48" s="64" t="s">
        <v>717</v>
      </c>
      <c r="M48" s="49" t="s">
        <v>470</v>
      </c>
    </row>
    <row r="49" s="2" customFormat="1" ht="45" spans="1:13">
      <c r="A49" s="55" t="s">
        <v>493</v>
      </c>
      <c r="B49" s="56" t="s">
        <v>718</v>
      </c>
      <c r="C49" s="55" t="s">
        <v>145</v>
      </c>
      <c r="D49" s="42"/>
      <c r="E49" s="52"/>
      <c r="F49" s="35">
        <f t="shared" si="2"/>
        <v>0</v>
      </c>
      <c r="G49" s="57"/>
      <c r="H49" s="45"/>
      <c r="I49" s="37">
        <f t="shared" si="3"/>
        <v>0</v>
      </c>
      <c r="J49" s="52"/>
      <c r="K49" s="58"/>
      <c r="L49" s="58"/>
      <c r="M49" s="54"/>
    </row>
    <row r="50" s="2" customFormat="1" ht="22.5" spans="1:13">
      <c r="A50" s="55" t="s">
        <v>94</v>
      </c>
      <c r="B50" s="56" t="s">
        <v>487</v>
      </c>
      <c r="C50" s="55" t="s">
        <v>145</v>
      </c>
      <c r="D50" s="42"/>
      <c r="E50" s="52"/>
      <c r="F50" s="35">
        <f t="shared" ref="F50:F81" si="4">IFERROR(ROUND(D50*E50,0),"")</f>
        <v>0</v>
      </c>
      <c r="G50" s="57"/>
      <c r="H50" s="45"/>
      <c r="I50" s="37">
        <f t="shared" si="3"/>
        <v>0</v>
      </c>
      <c r="J50" s="52"/>
      <c r="K50" s="58"/>
      <c r="L50" s="58"/>
      <c r="M50" s="54"/>
    </row>
    <row r="51" s="2" customFormat="1" ht="99.75" customHeight="1" spans="1:13">
      <c r="A51" s="55" t="s">
        <v>37</v>
      </c>
      <c r="B51" s="56" t="s">
        <v>719</v>
      </c>
      <c r="C51" s="55" t="s">
        <v>39</v>
      </c>
      <c r="D51" s="42">
        <v>10</v>
      </c>
      <c r="E51" s="52">
        <v>245</v>
      </c>
      <c r="F51" s="35">
        <f t="shared" si="4"/>
        <v>2450</v>
      </c>
      <c r="G51" s="57">
        <v>947.11</v>
      </c>
      <c r="H51" s="36">
        <v>140</v>
      </c>
      <c r="I51" s="37">
        <f t="shared" ref="I51:I76" si="5">ROUND(D51*H51,0)</f>
        <v>1400</v>
      </c>
      <c r="J51" s="46" t="s">
        <v>424</v>
      </c>
      <c r="K51" s="46" t="s">
        <v>418</v>
      </c>
      <c r="L51" s="64" t="s">
        <v>477</v>
      </c>
      <c r="M51" s="49" t="s">
        <v>470</v>
      </c>
    </row>
    <row r="52" s="2" customFormat="1" ht="22.5" spans="1:13">
      <c r="A52" s="55" t="s">
        <v>509</v>
      </c>
      <c r="B52" s="56" t="s">
        <v>510</v>
      </c>
      <c r="C52" s="55" t="s">
        <v>145</v>
      </c>
      <c r="D52" s="42"/>
      <c r="E52" s="52"/>
      <c r="F52" s="35">
        <f t="shared" si="4"/>
        <v>0</v>
      </c>
      <c r="G52" s="57"/>
      <c r="H52" s="45"/>
      <c r="I52" s="37">
        <f t="shared" si="5"/>
        <v>0</v>
      </c>
      <c r="J52" s="52"/>
      <c r="K52" s="58"/>
      <c r="L52" s="58"/>
      <c r="M52" s="54"/>
    </row>
    <row r="53" s="2" customFormat="1" ht="22.5" spans="1:13">
      <c r="A53" s="55" t="s">
        <v>511</v>
      </c>
      <c r="B53" s="56" t="s">
        <v>512</v>
      </c>
      <c r="C53" s="55" t="s">
        <v>145</v>
      </c>
      <c r="D53" s="42"/>
      <c r="E53" s="52"/>
      <c r="F53" s="35">
        <f t="shared" si="4"/>
        <v>0</v>
      </c>
      <c r="G53" s="57"/>
      <c r="H53" s="45"/>
      <c r="I53" s="37">
        <f t="shared" si="5"/>
        <v>0</v>
      </c>
      <c r="J53" s="52"/>
      <c r="K53" s="58"/>
      <c r="L53" s="58"/>
      <c r="M53" s="54"/>
    </row>
    <row r="54" s="2" customFormat="1" ht="22.5" spans="1:13">
      <c r="A54" s="55" t="s">
        <v>94</v>
      </c>
      <c r="B54" s="56" t="s">
        <v>487</v>
      </c>
      <c r="C54" s="55" t="s">
        <v>145</v>
      </c>
      <c r="D54" s="57"/>
      <c r="E54" s="52"/>
      <c r="F54" s="35">
        <f t="shared" si="4"/>
        <v>0</v>
      </c>
      <c r="G54" s="57"/>
      <c r="H54" s="45"/>
      <c r="I54" s="37">
        <f t="shared" si="5"/>
        <v>0</v>
      </c>
      <c r="J54" s="52"/>
      <c r="K54" s="58"/>
      <c r="L54" s="58"/>
      <c r="M54" s="54"/>
    </row>
    <row r="55" s="2" customFormat="1" ht="144.75" customHeight="1" spans="1:13">
      <c r="A55" s="55" t="s">
        <v>37</v>
      </c>
      <c r="B55" s="56" t="s">
        <v>513</v>
      </c>
      <c r="C55" s="55" t="s">
        <v>39</v>
      </c>
      <c r="D55" s="57">
        <v>2.5</v>
      </c>
      <c r="E55" s="52">
        <v>305</v>
      </c>
      <c r="F55" s="35">
        <f t="shared" si="4"/>
        <v>763</v>
      </c>
      <c r="G55" s="57">
        <v>445.27</v>
      </c>
      <c r="H55" s="45">
        <v>350</v>
      </c>
      <c r="I55" s="37">
        <f t="shared" si="5"/>
        <v>875</v>
      </c>
      <c r="J55" s="46" t="s">
        <v>25</v>
      </c>
      <c r="K55" s="46" t="s">
        <v>418</v>
      </c>
      <c r="L55" s="46" t="s">
        <v>720</v>
      </c>
      <c r="M55" s="49" t="s">
        <v>515</v>
      </c>
    </row>
    <row r="56" s="2" customFormat="1" ht="67.5" spans="1:13">
      <c r="A56" s="50" t="s">
        <v>206</v>
      </c>
      <c r="B56" s="65" t="s">
        <v>721</v>
      </c>
      <c r="C56" s="66" t="s">
        <v>145</v>
      </c>
      <c r="D56" s="53"/>
      <c r="E56" s="52"/>
      <c r="F56" s="35">
        <f t="shared" si="4"/>
        <v>0</v>
      </c>
      <c r="G56" s="53"/>
      <c r="H56" s="45"/>
      <c r="I56" s="37">
        <f t="shared" si="5"/>
        <v>0</v>
      </c>
      <c r="J56" s="52"/>
      <c r="K56" s="58"/>
      <c r="L56" s="58"/>
      <c r="M56" s="54"/>
    </row>
    <row r="57" s="2" customFormat="1" ht="22.5" spans="1:13">
      <c r="A57" s="67" t="s">
        <v>433</v>
      </c>
      <c r="B57" s="56" t="s">
        <v>223</v>
      </c>
      <c r="C57" s="55" t="s">
        <v>145</v>
      </c>
      <c r="D57" s="57"/>
      <c r="E57" s="52"/>
      <c r="F57" s="35">
        <f t="shared" si="4"/>
        <v>0</v>
      </c>
      <c r="G57" s="57"/>
      <c r="H57" s="45"/>
      <c r="I57" s="37">
        <f t="shared" si="5"/>
        <v>0</v>
      </c>
      <c r="J57" s="52"/>
      <c r="K57" s="58"/>
      <c r="L57" s="58"/>
      <c r="M57" s="54"/>
    </row>
    <row r="58" s="2" customFormat="1" ht="96.75" customHeight="1" spans="1:13">
      <c r="A58" s="67" t="s">
        <v>434</v>
      </c>
      <c r="B58" s="56" t="s">
        <v>435</v>
      </c>
      <c r="C58" s="55" t="s">
        <v>145</v>
      </c>
      <c r="D58" s="57"/>
      <c r="E58" s="52"/>
      <c r="F58" s="35">
        <f t="shared" si="4"/>
        <v>0</v>
      </c>
      <c r="G58" s="57"/>
      <c r="H58" s="45"/>
      <c r="I58" s="37">
        <f t="shared" si="5"/>
        <v>0</v>
      </c>
      <c r="J58" s="52"/>
      <c r="K58" s="58"/>
      <c r="L58" s="58"/>
      <c r="M58" s="54"/>
    </row>
    <row r="59" s="2" customFormat="1" ht="121.5" customHeight="1" spans="1:13">
      <c r="A59" s="67" t="s">
        <v>98</v>
      </c>
      <c r="B59" s="56" t="s">
        <v>436</v>
      </c>
      <c r="C59" s="55" t="s">
        <v>437</v>
      </c>
      <c r="D59" s="55">
        <v>36210</v>
      </c>
      <c r="E59" s="52">
        <v>0.65</v>
      </c>
      <c r="F59" s="35">
        <f t="shared" si="4"/>
        <v>23537</v>
      </c>
      <c r="G59" s="55">
        <v>5.79</v>
      </c>
      <c r="H59" s="36">
        <v>0.7</v>
      </c>
      <c r="I59" s="47">
        <f t="shared" si="5"/>
        <v>25347</v>
      </c>
      <c r="J59" s="46" t="s">
        <v>438</v>
      </c>
      <c r="K59" s="46" t="s">
        <v>418</v>
      </c>
      <c r="L59" s="60" t="s">
        <v>500</v>
      </c>
      <c r="M59" s="46"/>
    </row>
    <row r="60" s="2" customFormat="1" ht="22.5" spans="1:13">
      <c r="A60" s="67" t="s">
        <v>440</v>
      </c>
      <c r="B60" s="56" t="s">
        <v>441</v>
      </c>
      <c r="C60" s="55" t="s">
        <v>145</v>
      </c>
      <c r="D60" s="57"/>
      <c r="E60" s="52"/>
      <c r="F60" s="35">
        <f t="shared" si="4"/>
        <v>0</v>
      </c>
      <c r="G60" s="57"/>
      <c r="H60" s="45"/>
      <c r="I60" s="37">
        <f t="shared" si="5"/>
        <v>0</v>
      </c>
      <c r="J60" s="52"/>
      <c r="K60" s="58"/>
      <c r="L60" s="58"/>
      <c r="M60" s="54"/>
    </row>
    <row r="61" s="2" customFormat="1" ht="132" customHeight="1" spans="1:13">
      <c r="A61" s="67" t="s">
        <v>98</v>
      </c>
      <c r="B61" s="56" t="s">
        <v>436</v>
      </c>
      <c r="C61" s="55" t="s">
        <v>437</v>
      </c>
      <c r="D61" s="55">
        <v>5746</v>
      </c>
      <c r="E61" s="52">
        <v>0.68</v>
      </c>
      <c r="F61" s="35">
        <f t="shared" si="4"/>
        <v>3907</v>
      </c>
      <c r="G61" s="55">
        <v>5.93</v>
      </c>
      <c r="H61" s="36">
        <v>0.74</v>
      </c>
      <c r="I61" s="47">
        <f t="shared" si="5"/>
        <v>4252</v>
      </c>
      <c r="J61" s="46" t="s">
        <v>438</v>
      </c>
      <c r="K61" s="46" t="s">
        <v>418</v>
      </c>
      <c r="L61" s="60" t="s">
        <v>500</v>
      </c>
      <c r="M61" s="46"/>
    </row>
    <row r="62" s="2" customFormat="1" ht="64.5" customHeight="1" spans="1:13">
      <c r="A62" s="67" t="s">
        <v>50</v>
      </c>
      <c r="B62" s="56" t="s">
        <v>443</v>
      </c>
      <c r="C62" s="55" t="s">
        <v>437</v>
      </c>
      <c r="D62" s="55">
        <v>364</v>
      </c>
      <c r="E62" s="52">
        <v>0.68</v>
      </c>
      <c r="F62" s="35">
        <f t="shared" si="4"/>
        <v>248</v>
      </c>
      <c r="G62" s="55">
        <v>6.33</v>
      </c>
      <c r="H62" s="36">
        <v>0.25</v>
      </c>
      <c r="I62" s="47">
        <f t="shared" si="5"/>
        <v>91</v>
      </c>
      <c r="J62" s="46" t="s">
        <v>444</v>
      </c>
      <c r="K62" s="46" t="s">
        <v>418</v>
      </c>
      <c r="L62" s="60" t="s">
        <v>445</v>
      </c>
      <c r="M62" s="54"/>
    </row>
    <row r="63" s="2" customFormat="1" ht="22.5" spans="1:13">
      <c r="A63" s="67" t="s">
        <v>448</v>
      </c>
      <c r="B63" s="56" t="s">
        <v>449</v>
      </c>
      <c r="C63" s="55" t="s">
        <v>145</v>
      </c>
      <c r="D63" s="57"/>
      <c r="E63" s="52"/>
      <c r="F63" s="35">
        <f t="shared" si="4"/>
        <v>0</v>
      </c>
      <c r="G63" s="57"/>
      <c r="H63" s="45"/>
      <c r="I63" s="37">
        <f t="shared" si="5"/>
        <v>0</v>
      </c>
      <c r="J63" s="52"/>
      <c r="K63" s="58"/>
      <c r="L63" s="58"/>
      <c r="M63" s="54"/>
    </row>
    <row r="64" s="2" customFormat="1" ht="93" customHeight="1" spans="1:13">
      <c r="A64" s="67" t="s">
        <v>450</v>
      </c>
      <c r="B64" s="56" t="s">
        <v>451</v>
      </c>
      <c r="C64" s="55" t="s">
        <v>39</v>
      </c>
      <c r="D64" s="55">
        <v>492.58</v>
      </c>
      <c r="E64" s="52">
        <v>12</v>
      </c>
      <c r="F64" s="35">
        <f t="shared" si="4"/>
        <v>5911</v>
      </c>
      <c r="G64" s="55">
        <v>19.96</v>
      </c>
      <c r="H64" s="36">
        <v>12</v>
      </c>
      <c r="I64" s="47">
        <f t="shared" si="5"/>
        <v>5911</v>
      </c>
      <c r="J64" s="46" t="s">
        <v>25</v>
      </c>
      <c r="K64" s="46" t="s">
        <v>418</v>
      </c>
      <c r="L64" s="60" t="s">
        <v>452</v>
      </c>
      <c r="M64" s="54"/>
    </row>
    <row r="65" s="2" customFormat="1" ht="96.75" customHeight="1" spans="1:13">
      <c r="A65" s="67" t="s">
        <v>453</v>
      </c>
      <c r="B65" s="56" t="s">
        <v>454</v>
      </c>
      <c r="C65" s="55" t="s">
        <v>39</v>
      </c>
      <c r="D65" s="55">
        <v>251.35</v>
      </c>
      <c r="E65" s="52">
        <v>36</v>
      </c>
      <c r="F65" s="35">
        <f t="shared" si="4"/>
        <v>9049</v>
      </c>
      <c r="G65" s="55">
        <v>52.89</v>
      </c>
      <c r="H65" s="36">
        <v>35</v>
      </c>
      <c r="I65" s="47">
        <f t="shared" si="5"/>
        <v>8797</v>
      </c>
      <c r="J65" s="46" t="s">
        <v>25</v>
      </c>
      <c r="K65" s="46" t="s">
        <v>418</v>
      </c>
      <c r="L65" s="60" t="s">
        <v>455</v>
      </c>
      <c r="M65" s="54"/>
    </row>
    <row r="66" s="2" customFormat="1" ht="22.5" spans="1:13">
      <c r="A66" s="67" t="s">
        <v>456</v>
      </c>
      <c r="B66" s="56" t="s">
        <v>457</v>
      </c>
      <c r="C66" s="55" t="s">
        <v>145</v>
      </c>
      <c r="D66" s="57"/>
      <c r="E66" s="52"/>
      <c r="F66" s="35">
        <f t="shared" si="4"/>
        <v>0</v>
      </c>
      <c r="G66" s="57"/>
      <c r="H66" s="45"/>
      <c r="I66" s="37">
        <f t="shared" si="5"/>
        <v>0</v>
      </c>
      <c r="J66" s="52"/>
      <c r="K66" s="58"/>
      <c r="L66" s="58"/>
      <c r="M66" s="54"/>
    </row>
    <row r="67" s="2" customFormat="1" ht="22.5" spans="1:13">
      <c r="A67" s="67" t="s">
        <v>458</v>
      </c>
      <c r="B67" s="56" t="s">
        <v>457</v>
      </c>
      <c r="C67" s="55" t="s">
        <v>145</v>
      </c>
      <c r="D67" s="57"/>
      <c r="E67" s="52"/>
      <c r="F67" s="35">
        <f t="shared" si="4"/>
        <v>0</v>
      </c>
      <c r="G67" s="57"/>
      <c r="H67" s="45"/>
      <c r="I67" s="37">
        <f t="shared" si="5"/>
        <v>0</v>
      </c>
      <c r="J67" s="52"/>
      <c r="K67" s="58"/>
      <c r="L67" s="58"/>
      <c r="M67" s="54"/>
    </row>
    <row r="68" s="2" customFormat="1" ht="22.5" spans="1:13">
      <c r="A68" s="67" t="s">
        <v>94</v>
      </c>
      <c r="B68" s="56" t="s">
        <v>459</v>
      </c>
      <c r="C68" s="55" t="s">
        <v>145</v>
      </c>
      <c r="D68" s="57"/>
      <c r="E68" s="52"/>
      <c r="F68" s="35">
        <f t="shared" si="4"/>
        <v>0</v>
      </c>
      <c r="G68" s="57"/>
      <c r="H68" s="45"/>
      <c r="I68" s="37">
        <f t="shared" si="5"/>
        <v>0</v>
      </c>
      <c r="J68" s="52"/>
      <c r="K68" s="58"/>
      <c r="L68" s="58"/>
      <c r="M68" s="54"/>
    </row>
    <row r="69" s="2" customFormat="1" ht="193.5" customHeight="1" spans="1:13">
      <c r="A69" s="67" t="s">
        <v>37</v>
      </c>
      <c r="B69" s="62" t="s">
        <v>460</v>
      </c>
      <c r="C69" s="55" t="s">
        <v>85</v>
      </c>
      <c r="D69" s="55">
        <v>84</v>
      </c>
      <c r="E69" s="52">
        <v>955</v>
      </c>
      <c r="F69" s="35">
        <f t="shared" si="4"/>
        <v>80220</v>
      </c>
      <c r="G69" s="55">
        <v>2449.13</v>
      </c>
      <c r="H69" s="45">
        <v>750</v>
      </c>
      <c r="I69" s="37">
        <f t="shared" si="5"/>
        <v>63000</v>
      </c>
      <c r="J69" s="46" t="s">
        <v>461</v>
      </c>
      <c r="K69" s="46" t="s">
        <v>418</v>
      </c>
      <c r="L69" s="58" t="s">
        <v>462</v>
      </c>
      <c r="M69" s="49" t="s">
        <v>463</v>
      </c>
    </row>
    <row r="70" s="2" customFormat="1" ht="22.5" spans="1:13">
      <c r="A70" s="67" t="s">
        <v>464</v>
      </c>
      <c r="B70" s="56" t="s">
        <v>465</v>
      </c>
      <c r="C70" s="55" t="s">
        <v>145</v>
      </c>
      <c r="D70" s="57"/>
      <c r="E70" s="52"/>
      <c r="F70" s="35">
        <f t="shared" si="4"/>
        <v>0</v>
      </c>
      <c r="G70" s="57"/>
      <c r="H70" s="45"/>
      <c r="I70" s="37">
        <f t="shared" si="5"/>
        <v>0</v>
      </c>
      <c r="J70" s="52"/>
      <c r="K70" s="58"/>
      <c r="L70" s="58"/>
      <c r="M70" s="54"/>
    </row>
    <row r="71" s="2" customFormat="1" ht="120" customHeight="1" spans="1:13">
      <c r="A71" s="67" t="s">
        <v>466</v>
      </c>
      <c r="B71" s="56" t="s">
        <v>467</v>
      </c>
      <c r="C71" s="55" t="s">
        <v>145</v>
      </c>
      <c r="D71" s="57"/>
      <c r="E71" s="52"/>
      <c r="F71" s="35">
        <f t="shared" si="4"/>
        <v>0</v>
      </c>
      <c r="G71" s="57"/>
      <c r="H71" s="45"/>
      <c r="I71" s="37">
        <f t="shared" si="5"/>
        <v>0</v>
      </c>
      <c r="J71" s="52"/>
      <c r="K71" s="58"/>
      <c r="L71" s="58"/>
      <c r="M71" s="54"/>
    </row>
    <row r="72" s="2" customFormat="1" ht="130.5" customHeight="1" spans="1:13">
      <c r="A72" s="67" t="s">
        <v>98</v>
      </c>
      <c r="B72" s="56" t="s">
        <v>722</v>
      </c>
      <c r="C72" s="55" t="s">
        <v>39</v>
      </c>
      <c r="D72" s="55">
        <v>366.6</v>
      </c>
      <c r="E72" s="52">
        <v>100</v>
      </c>
      <c r="F72" s="35">
        <f t="shared" si="4"/>
        <v>36660</v>
      </c>
      <c r="G72" s="55">
        <v>699.91</v>
      </c>
      <c r="H72" s="45">
        <v>140</v>
      </c>
      <c r="I72" s="37">
        <f t="shared" si="5"/>
        <v>51324</v>
      </c>
      <c r="J72" s="46" t="s">
        <v>424</v>
      </c>
      <c r="K72" s="46" t="s">
        <v>418</v>
      </c>
      <c r="L72" s="64" t="s">
        <v>472</v>
      </c>
      <c r="M72" s="49" t="s">
        <v>504</v>
      </c>
    </row>
    <row r="73" s="2" customFormat="1" ht="22.5" spans="1:13">
      <c r="A73" s="67" t="s">
        <v>473</v>
      </c>
      <c r="B73" s="56" t="s">
        <v>474</v>
      </c>
      <c r="C73" s="55" t="s">
        <v>145</v>
      </c>
      <c r="D73" s="57"/>
      <c r="E73" s="52"/>
      <c r="F73" s="35">
        <f t="shared" si="4"/>
        <v>0</v>
      </c>
      <c r="G73" s="57"/>
      <c r="H73" s="45"/>
      <c r="I73" s="37">
        <f t="shared" si="5"/>
        <v>0</v>
      </c>
      <c r="J73" s="52"/>
      <c r="K73" s="58"/>
      <c r="L73" s="58"/>
      <c r="M73" s="54"/>
    </row>
    <row r="74" s="2" customFormat="1" ht="22.5" spans="1:13">
      <c r="A74" s="67" t="s">
        <v>94</v>
      </c>
      <c r="B74" s="56" t="s">
        <v>475</v>
      </c>
      <c r="C74" s="55" t="s">
        <v>145</v>
      </c>
      <c r="D74" s="57"/>
      <c r="E74" s="52"/>
      <c r="F74" s="35">
        <f t="shared" si="4"/>
        <v>0</v>
      </c>
      <c r="G74" s="57"/>
      <c r="H74" s="45"/>
      <c r="I74" s="37">
        <f t="shared" si="5"/>
        <v>0</v>
      </c>
      <c r="J74" s="52"/>
      <c r="K74" s="58"/>
      <c r="L74" s="58"/>
      <c r="M74" s="54"/>
    </row>
    <row r="75" s="2" customFormat="1" ht="132" customHeight="1" spans="1:13">
      <c r="A75" s="67" t="s">
        <v>37</v>
      </c>
      <c r="B75" s="56" t="s">
        <v>476</v>
      </c>
      <c r="C75" s="55" t="s">
        <v>39</v>
      </c>
      <c r="D75" s="55">
        <v>207.4</v>
      </c>
      <c r="E75" s="52">
        <v>100</v>
      </c>
      <c r="F75" s="35">
        <f t="shared" si="4"/>
        <v>20740</v>
      </c>
      <c r="G75" s="55">
        <v>847.2</v>
      </c>
      <c r="H75" s="36">
        <v>140</v>
      </c>
      <c r="I75" s="47">
        <f t="shared" si="5"/>
        <v>29036</v>
      </c>
      <c r="J75" s="46" t="s">
        <v>424</v>
      </c>
      <c r="K75" s="46" t="s">
        <v>418</v>
      </c>
      <c r="L75" s="64" t="s">
        <v>477</v>
      </c>
      <c r="M75" s="49" t="s">
        <v>504</v>
      </c>
    </row>
    <row r="76" s="2" customFormat="1" ht="117" customHeight="1" spans="1:13">
      <c r="A76" s="67" t="s">
        <v>37</v>
      </c>
      <c r="B76" s="56" t="s">
        <v>478</v>
      </c>
      <c r="C76" s="55" t="s">
        <v>39</v>
      </c>
      <c r="D76" s="55">
        <v>9</v>
      </c>
      <c r="E76" s="52">
        <v>100</v>
      </c>
      <c r="F76" s="35">
        <f t="shared" si="4"/>
        <v>900</v>
      </c>
      <c r="G76" s="55">
        <v>857.31</v>
      </c>
      <c r="H76" s="36">
        <v>140</v>
      </c>
      <c r="I76" s="47">
        <f t="shared" si="5"/>
        <v>1260</v>
      </c>
      <c r="J76" s="46" t="s">
        <v>424</v>
      </c>
      <c r="K76" s="46" t="s">
        <v>418</v>
      </c>
      <c r="L76" s="64" t="s">
        <v>477</v>
      </c>
      <c r="M76" s="49" t="s">
        <v>504</v>
      </c>
    </row>
    <row r="77" s="2" customFormat="1" ht="22.5" spans="1:13">
      <c r="A77" s="67" t="s">
        <v>56</v>
      </c>
      <c r="B77" s="56" t="s">
        <v>479</v>
      </c>
      <c r="C77" s="55" t="s">
        <v>145</v>
      </c>
      <c r="D77" s="57"/>
      <c r="E77" s="52"/>
      <c r="F77" s="35">
        <f t="shared" si="4"/>
        <v>0</v>
      </c>
      <c r="G77" s="57"/>
      <c r="H77" s="45" t="s">
        <v>723</v>
      </c>
      <c r="I77" s="37"/>
      <c r="J77" s="52"/>
      <c r="K77" s="58"/>
      <c r="L77" s="58"/>
      <c r="M77" s="54"/>
    </row>
    <row r="78" s="2" customFormat="1" ht="113.25" customHeight="1" spans="1:13">
      <c r="A78" s="67" t="s">
        <v>58</v>
      </c>
      <c r="B78" s="56" t="s">
        <v>506</v>
      </c>
      <c r="C78" s="55" t="s">
        <v>39</v>
      </c>
      <c r="D78" s="55">
        <v>96</v>
      </c>
      <c r="E78" s="52">
        <v>240</v>
      </c>
      <c r="F78" s="35">
        <f t="shared" si="4"/>
        <v>23040</v>
      </c>
      <c r="G78" s="55">
        <v>926.92</v>
      </c>
      <c r="H78" s="36">
        <v>200</v>
      </c>
      <c r="I78" s="37">
        <f t="shared" ref="I78:I93" si="6">ROUND(D78*H78,0)</f>
        <v>19200</v>
      </c>
      <c r="J78" s="46" t="s">
        <v>424</v>
      </c>
      <c r="K78" s="46" t="s">
        <v>418</v>
      </c>
      <c r="L78" s="64" t="s">
        <v>481</v>
      </c>
      <c r="M78" s="49" t="s">
        <v>504</v>
      </c>
    </row>
    <row r="79" s="2" customFormat="1" ht="45" spans="1:13">
      <c r="A79" s="67" t="s">
        <v>482</v>
      </c>
      <c r="B79" s="56" t="s">
        <v>483</v>
      </c>
      <c r="C79" s="55" t="s">
        <v>145</v>
      </c>
      <c r="D79" s="57"/>
      <c r="E79" s="52"/>
      <c r="F79" s="35">
        <f t="shared" si="4"/>
        <v>0</v>
      </c>
      <c r="G79" s="57"/>
      <c r="H79" s="45"/>
      <c r="I79" s="37">
        <f t="shared" si="6"/>
        <v>0</v>
      </c>
      <c r="J79" s="52"/>
      <c r="K79" s="58"/>
      <c r="L79" s="58"/>
      <c r="M79" s="54"/>
    </row>
    <row r="80" s="2" customFormat="1" ht="22.5" spans="1:13">
      <c r="A80" s="67" t="s">
        <v>94</v>
      </c>
      <c r="B80" s="56" t="s">
        <v>484</v>
      </c>
      <c r="C80" s="55" t="s">
        <v>145</v>
      </c>
      <c r="D80" s="57"/>
      <c r="E80" s="52"/>
      <c r="F80" s="35">
        <f t="shared" si="4"/>
        <v>0</v>
      </c>
      <c r="G80" s="57"/>
      <c r="H80" s="45"/>
      <c r="I80" s="37">
        <f t="shared" si="6"/>
        <v>0</v>
      </c>
      <c r="J80" s="52"/>
      <c r="K80" s="58"/>
      <c r="L80" s="58"/>
      <c r="M80" s="54"/>
    </row>
    <row r="81" s="2" customFormat="1" ht="97.5" customHeight="1" spans="1:13">
      <c r="A81" s="67" t="s">
        <v>37</v>
      </c>
      <c r="B81" s="56" t="s">
        <v>485</v>
      </c>
      <c r="C81" s="55" t="s">
        <v>39</v>
      </c>
      <c r="D81" s="55">
        <v>1</v>
      </c>
      <c r="E81" s="52">
        <v>350</v>
      </c>
      <c r="F81" s="35">
        <f t="shared" si="4"/>
        <v>350</v>
      </c>
      <c r="G81" s="55">
        <v>1278.48</v>
      </c>
      <c r="H81" s="36">
        <v>400</v>
      </c>
      <c r="I81" s="37">
        <f t="shared" si="6"/>
        <v>400</v>
      </c>
      <c r="J81" s="46" t="s">
        <v>424</v>
      </c>
      <c r="K81" s="46" t="s">
        <v>418</v>
      </c>
      <c r="L81" s="64" t="s">
        <v>607</v>
      </c>
      <c r="M81" s="49" t="s">
        <v>504</v>
      </c>
    </row>
    <row r="82" s="2" customFormat="1" ht="22.5" spans="1:13">
      <c r="A82" s="67" t="s">
        <v>56</v>
      </c>
      <c r="B82" s="56" t="s">
        <v>487</v>
      </c>
      <c r="C82" s="55" t="s">
        <v>145</v>
      </c>
      <c r="D82" s="57"/>
      <c r="E82" s="52"/>
      <c r="F82" s="35">
        <f t="shared" ref="F82:F113" si="7">IFERROR(ROUND(D82*E82,0),"")</f>
        <v>0</v>
      </c>
      <c r="G82" s="57"/>
      <c r="H82" s="45"/>
      <c r="I82" s="37">
        <f t="shared" si="6"/>
        <v>0</v>
      </c>
      <c r="J82" s="52"/>
      <c r="K82" s="58"/>
      <c r="L82" s="58"/>
      <c r="M82" s="54"/>
    </row>
    <row r="83" s="2" customFormat="1" ht="116.25" customHeight="1" spans="1:13">
      <c r="A83" s="67" t="s">
        <v>58</v>
      </c>
      <c r="B83" s="56" t="s">
        <v>488</v>
      </c>
      <c r="C83" s="55" t="s">
        <v>39</v>
      </c>
      <c r="D83" s="55">
        <v>8</v>
      </c>
      <c r="E83" s="52">
        <v>100</v>
      </c>
      <c r="F83" s="35">
        <f t="shared" si="7"/>
        <v>800</v>
      </c>
      <c r="G83" s="55">
        <v>726.42</v>
      </c>
      <c r="H83" s="36">
        <v>140</v>
      </c>
      <c r="I83" s="37">
        <f t="shared" si="6"/>
        <v>1120</v>
      </c>
      <c r="J83" s="46" t="s">
        <v>424</v>
      </c>
      <c r="K83" s="46" t="s">
        <v>418</v>
      </c>
      <c r="L83" s="64" t="s">
        <v>489</v>
      </c>
      <c r="M83" s="49" t="s">
        <v>504</v>
      </c>
    </row>
    <row r="84" s="2" customFormat="1" ht="22.5" spans="1:13">
      <c r="A84" s="67" t="s">
        <v>62</v>
      </c>
      <c r="B84" s="56" t="s">
        <v>490</v>
      </c>
      <c r="C84" s="55" t="s">
        <v>145</v>
      </c>
      <c r="D84" s="57"/>
      <c r="E84" s="52"/>
      <c r="F84" s="35">
        <f t="shared" si="7"/>
        <v>0</v>
      </c>
      <c r="G84" s="57"/>
      <c r="H84" s="45"/>
      <c r="I84" s="37">
        <f t="shared" si="6"/>
        <v>0</v>
      </c>
      <c r="J84" s="43"/>
      <c r="K84" s="58"/>
      <c r="L84" s="58"/>
      <c r="M84" s="54"/>
    </row>
    <row r="85" s="2" customFormat="1" ht="94.5" customHeight="1" spans="1:13">
      <c r="A85" s="67" t="s">
        <v>64</v>
      </c>
      <c r="B85" s="56" t="s">
        <v>491</v>
      </c>
      <c r="C85" s="55" t="s">
        <v>39</v>
      </c>
      <c r="D85" s="55">
        <v>1.5</v>
      </c>
      <c r="E85" s="52">
        <v>350</v>
      </c>
      <c r="F85" s="35">
        <f t="shared" si="7"/>
        <v>525</v>
      </c>
      <c r="G85" s="55">
        <v>1278.48</v>
      </c>
      <c r="H85" s="36">
        <v>400</v>
      </c>
      <c r="I85" s="37">
        <f t="shared" si="6"/>
        <v>600</v>
      </c>
      <c r="J85" s="46" t="s">
        <v>424</v>
      </c>
      <c r="K85" s="46" t="s">
        <v>418</v>
      </c>
      <c r="L85" s="64" t="s">
        <v>607</v>
      </c>
      <c r="M85" s="49" t="s">
        <v>504</v>
      </c>
    </row>
    <row r="86" s="2" customFormat="1" ht="45" spans="1:13">
      <c r="A86" s="67" t="s">
        <v>493</v>
      </c>
      <c r="B86" s="56" t="s">
        <v>718</v>
      </c>
      <c r="C86" s="55" t="s">
        <v>145</v>
      </c>
      <c r="D86" s="57"/>
      <c r="E86" s="52"/>
      <c r="F86" s="35">
        <f t="shared" si="7"/>
        <v>0</v>
      </c>
      <c r="G86" s="57"/>
      <c r="H86" s="45"/>
      <c r="I86" s="37">
        <f t="shared" si="6"/>
        <v>0</v>
      </c>
      <c r="J86" s="52"/>
      <c r="K86" s="58"/>
      <c r="L86" s="58"/>
      <c r="M86" s="54"/>
    </row>
    <row r="87" s="2" customFormat="1" ht="22.5" spans="1:13">
      <c r="A87" s="67" t="s">
        <v>94</v>
      </c>
      <c r="B87" s="56" t="s">
        <v>487</v>
      </c>
      <c r="C87" s="55" t="s">
        <v>145</v>
      </c>
      <c r="D87" s="57"/>
      <c r="E87" s="52"/>
      <c r="F87" s="35">
        <f t="shared" si="7"/>
        <v>0</v>
      </c>
      <c r="G87" s="57"/>
      <c r="H87" s="45"/>
      <c r="I87" s="37">
        <f t="shared" si="6"/>
        <v>0</v>
      </c>
      <c r="J87" s="52"/>
      <c r="K87" s="58"/>
      <c r="L87" s="58"/>
      <c r="M87" s="54"/>
    </row>
    <row r="88" s="2" customFormat="1" ht="100.5" customHeight="1" spans="1:13">
      <c r="A88" s="67" t="s">
        <v>37</v>
      </c>
      <c r="B88" s="56" t="s">
        <v>495</v>
      </c>
      <c r="C88" s="55" t="s">
        <v>39</v>
      </c>
      <c r="D88" s="55">
        <v>10</v>
      </c>
      <c r="E88" s="52">
        <v>200</v>
      </c>
      <c r="F88" s="35">
        <f t="shared" si="7"/>
        <v>2000</v>
      </c>
      <c r="G88" s="55">
        <v>947.11</v>
      </c>
      <c r="H88" s="63">
        <v>180</v>
      </c>
      <c r="I88" s="37">
        <f t="shared" si="6"/>
        <v>1800</v>
      </c>
      <c r="J88" s="46" t="s">
        <v>496</v>
      </c>
      <c r="K88" s="46" t="s">
        <v>418</v>
      </c>
      <c r="L88" s="59" t="s">
        <v>497</v>
      </c>
      <c r="M88" s="54"/>
    </row>
    <row r="89" s="2" customFormat="1" ht="22.5" spans="1:13">
      <c r="A89" s="67" t="s">
        <v>509</v>
      </c>
      <c r="B89" s="56" t="s">
        <v>510</v>
      </c>
      <c r="C89" s="55" t="s">
        <v>145</v>
      </c>
      <c r="D89" s="57"/>
      <c r="E89" s="52"/>
      <c r="F89" s="35">
        <f t="shared" si="7"/>
        <v>0</v>
      </c>
      <c r="G89" s="57"/>
      <c r="H89" s="45"/>
      <c r="I89" s="37">
        <f t="shared" si="6"/>
        <v>0</v>
      </c>
      <c r="J89" s="43"/>
      <c r="K89" s="58"/>
      <c r="L89" s="58"/>
      <c r="M89" s="54"/>
    </row>
    <row r="90" s="2" customFormat="1" ht="22.5" spans="1:13">
      <c r="A90" s="67" t="s">
        <v>511</v>
      </c>
      <c r="B90" s="56" t="s">
        <v>512</v>
      </c>
      <c r="C90" s="55" t="s">
        <v>145</v>
      </c>
      <c r="D90" s="57"/>
      <c r="E90" s="52"/>
      <c r="F90" s="35">
        <f t="shared" si="7"/>
        <v>0</v>
      </c>
      <c r="G90" s="57"/>
      <c r="H90" s="45"/>
      <c r="I90" s="37">
        <f t="shared" si="6"/>
        <v>0</v>
      </c>
      <c r="J90" s="43"/>
      <c r="K90" s="58"/>
      <c r="L90" s="58"/>
      <c r="M90" s="54"/>
    </row>
    <row r="91" s="2" customFormat="1" ht="22.5" spans="1:13">
      <c r="A91" s="67" t="s">
        <v>94</v>
      </c>
      <c r="B91" s="56" t="s">
        <v>487</v>
      </c>
      <c r="C91" s="55" t="s">
        <v>145</v>
      </c>
      <c r="D91" s="57"/>
      <c r="E91" s="52"/>
      <c r="F91" s="35">
        <f t="shared" si="7"/>
        <v>0</v>
      </c>
      <c r="G91" s="57"/>
      <c r="H91" s="45"/>
      <c r="I91" s="37">
        <f t="shared" si="6"/>
        <v>0</v>
      </c>
      <c r="J91" s="43"/>
      <c r="K91" s="58"/>
      <c r="L91" s="58"/>
      <c r="M91" s="54"/>
    </row>
    <row r="92" s="2" customFormat="1" ht="132.75" customHeight="1" spans="1:13">
      <c r="A92" s="67" t="s">
        <v>37</v>
      </c>
      <c r="B92" s="56" t="s">
        <v>513</v>
      </c>
      <c r="C92" s="55" t="s">
        <v>39</v>
      </c>
      <c r="D92" s="55">
        <v>16</v>
      </c>
      <c r="E92" s="52">
        <v>305</v>
      </c>
      <c r="F92" s="35">
        <f t="shared" si="7"/>
        <v>4880</v>
      </c>
      <c r="G92" s="55">
        <v>445.27</v>
      </c>
      <c r="H92" s="45">
        <v>350</v>
      </c>
      <c r="I92" s="37">
        <f t="shared" si="6"/>
        <v>5600</v>
      </c>
      <c r="J92" s="46" t="s">
        <v>25</v>
      </c>
      <c r="K92" s="46" t="s">
        <v>418</v>
      </c>
      <c r="L92" s="46" t="s">
        <v>514</v>
      </c>
      <c r="M92" s="49" t="s">
        <v>515</v>
      </c>
    </row>
    <row r="93" s="2" customFormat="1" ht="81" customHeight="1" spans="1:13">
      <c r="A93" s="68" t="s">
        <v>631</v>
      </c>
      <c r="B93" s="69" t="s">
        <v>724</v>
      </c>
      <c r="C93" s="68" t="s">
        <v>145</v>
      </c>
      <c r="D93" s="55"/>
      <c r="E93" s="52"/>
      <c r="F93" s="35">
        <f t="shared" si="7"/>
        <v>0</v>
      </c>
      <c r="G93" s="70" t="s">
        <v>145</v>
      </c>
      <c r="H93" s="45"/>
      <c r="I93" s="37">
        <f t="shared" si="6"/>
        <v>0</v>
      </c>
      <c r="J93" s="52"/>
      <c r="K93" s="71"/>
      <c r="L93" s="58"/>
      <c r="M93" s="54"/>
    </row>
    <row r="94" s="2" customFormat="1" ht="22.5" spans="1:13">
      <c r="A94" s="72" t="s">
        <v>433</v>
      </c>
      <c r="B94" s="73" t="s">
        <v>223</v>
      </c>
      <c r="C94" s="41" t="s">
        <v>145</v>
      </c>
      <c r="D94" s="41" t="s">
        <v>145</v>
      </c>
      <c r="E94" s="52"/>
      <c r="F94" s="35" t="str">
        <f t="shared" si="7"/>
        <v/>
      </c>
      <c r="G94" s="41" t="s">
        <v>145</v>
      </c>
      <c r="H94" s="45"/>
      <c r="I94" s="37"/>
      <c r="J94" s="52"/>
      <c r="K94" s="71"/>
      <c r="L94" s="58"/>
      <c r="M94" s="54"/>
    </row>
    <row r="95" s="2" customFormat="1" ht="91.5" customHeight="1" spans="1:13">
      <c r="A95" s="72" t="s">
        <v>434</v>
      </c>
      <c r="B95" s="73" t="s">
        <v>435</v>
      </c>
      <c r="C95" s="41" t="s">
        <v>145</v>
      </c>
      <c r="D95" s="41" t="s">
        <v>145</v>
      </c>
      <c r="E95" s="52"/>
      <c r="F95" s="35" t="str">
        <f t="shared" si="7"/>
        <v/>
      </c>
      <c r="G95" s="41" t="s">
        <v>145</v>
      </c>
      <c r="H95" s="45"/>
      <c r="I95" s="37"/>
      <c r="J95" s="52"/>
      <c r="K95" s="71"/>
      <c r="L95" s="58"/>
      <c r="M95" s="54"/>
    </row>
    <row r="96" s="2" customFormat="1" ht="126.75" customHeight="1" spans="1:13">
      <c r="A96" s="72" t="s">
        <v>98</v>
      </c>
      <c r="B96" s="73" t="s">
        <v>436</v>
      </c>
      <c r="C96" s="41" t="s">
        <v>437</v>
      </c>
      <c r="D96" s="41">
        <v>981</v>
      </c>
      <c r="E96" s="52">
        <v>0.65</v>
      </c>
      <c r="F96" s="35">
        <f t="shared" si="7"/>
        <v>638</v>
      </c>
      <c r="G96" s="41">
        <v>5.74</v>
      </c>
      <c r="H96" s="36">
        <v>0.7</v>
      </c>
      <c r="I96" s="47">
        <f>ROUND(D96*H96,0)</f>
        <v>687</v>
      </c>
      <c r="J96" s="46" t="s">
        <v>438</v>
      </c>
      <c r="K96" s="46" t="s">
        <v>418</v>
      </c>
      <c r="L96" s="60" t="s">
        <v>501</v>
      </c>
      <c r="M96" s="46"/>
    </row>
    <row r="97" s="2" customFormat="1" ht="22.5" spans="1:13">
      <c r="A97" s="72" t="s">
        <v>440</v>
      </c>
      <c r="B97" s="73" t="s">
        <v>441</v>
      </c>
      <c r="C97" s="41" t="s">
        <v>145</v>
      </c>
      <c r="D97" s="41" t="s">
        <v>145</v>
      </c>
      <c r="E97" s="52"/>
      <c r="F97" s="35" t="str">
        <f t="shared" si="7"/>
        <v/>
      </c>
      <c r="G97" s="41" t="s">
        <v>145</v>
      </c>
      <c r="H97" s="45"/>
      <c r="I97" s="37"/>
      <c r="J97" s="52"/>
      <c r="K97" s="71"/>
      <c r="L97" s="58"/>
      <c r="M97" s="54"/>
    </row>
    <row r="98" s="2" customFormat="1" ht="130.5" customHeight="1" spans="1:13">
      <c r="A98" s="72" t="s">
        <v>94</v>
      </c>
      <c r="B98" s="73" t="s">
        <v>517</v>
      </c>
      <c r="C98" s="41" t="s">
        <v>437</v>
      </c>
      <c r="D98" s="41">
        <v>884</v>
      </c>
      <c r="E98" s="52">
        <v>0.68</v>
      </c>
      <c r="F98" s="35">
        <f t="shared" si="7"/>
        <v>601</v>
      </c>
      <c r="G98" s="41">
        <v>5.98</v>
      </c>
      <c r="H98" s="36">
        <v>0.74</v>
      </c>
      <c r="I98" s="47">
        <f>ROUND(D98*H98,0)</f>
        <v>654</v>
      </c>
      <c r="J98" s="46" t="s">
        <v>518</v>
      </c>
      <c r="K98" s="46" t="s">
        <v>418</v>
      </c>
      <c r="L98" s="60" t="s">
        <v>501</v>
      </c>
      <c r="M98" s="46"/>
    </row>
    <row r="99" s="2" customFormat="1" ht="144.75" customHeight="1" spans="1:13">
      <c r="A99" s="72" t="s">
        <v>98</v>
      </c>
      <c r="B99" s="73" t="s">
        <v>436</v>
      </c>
      <c r="C99" s="41" t="s">
        <v>437</v>
      </c>
      <c r="D99" s="41">
        <v>4394</v>
      </c>
      <c r="E99" s="52">
        <v>0.68</v>
      </c>
      <c r="F99" s="35">
        <f t="shared" si="7"/>
        <v>2988</v>
      </c>
      <c r="G99" s="41">
        <v>6.04</v>
      </c>
      <c r="H99" s="36">
        <v>0.74</v>
      </c>
      <c r="I99" s="47">
        <f>ROUND(D99*H99,0)</f>
        <v>3252</v>
      </c>
      <c r="J99" s="46" t="s">
        <v>438</v>
      </c>
      <c r="K99" s="46" t="s">
        <v>418</v>
      </c>
      <c r="L99" s="60" t="s">
        <v>501</v>
      </c>
      <c r="M99" s="46"/>
    </row>
    <row r="100" ht="22.5" spans="1:13">
      <c r="A100" s="74" t="s">
        <v>526</v>
      </c>
      <c r="B100" s="74" t="s">
        <v>527</v>
      </c>
      <c r="C100" s="74" t="s">
        <v>145</v>
      </c>
      <c r="D100" s="74" t="s">
        <v>145</v>
      </c>
      <c r="E100" s="43"/>
      <c r="F100" s="35" t="str">
        <f t="shared" si="7"/>
        <v/>
      </c>
      <c r="G100" s="74" t="s">
        <v>145</v>
      </c>
      <c r="H100" s="35"/>
      <c r="I100" s="35"/>
      <c r="J100" s="46"/>
      <c r="K100" s="46"/>
      <c r="L100" s="46"/>
      <c r="M100" s="46"/>
    </row>
    <row r="101" ht="124.5" customHeight="1" spans="1:13">
      <c r="A101" s="74" t="s">
        <v>94</v>
      </c>
      <c r="B101" s="74" t="s">
        <v>517</v>
      </c>
      <c r="C101" s="74" t="s">
        <v>437</v>
      </c>
      <c r="D101" s="74">
        <v>281.1</v>
      </c>
      <c r="E101" s="52">
        <v>0.68</v>
      </c>
      <c r="F101" s="35">
        <f t="shared" si="7"/>
        <v>191</v>
      </c>
      <c r="G101" s="74">
        <v>6.12</v>
      </c>
      <c r="H101" s="36">
        <v>0.74</v>
      </c>
      <c r="I101" s="47">
        <f>ROUND(D101*H101,0)</f>
        <v>208</v>
      </c>
      <c r="J101" s="46" t="s">
        <v>518</v>
      </c>
      <c r="K101" s="46" t="s">
        <v>418</v>
      </c>
      <c r="L101" s="58" t="s">
        <v>602</v>
      </c>
      <c r="M101" s="46"/>
    </row>
    <row r="102" ht="125.25" customHeight="1" spans="1:13">
      <c r="A102" s="74" t="s">
        <v>98</v>
      </c>
      <c r="B102" s="74" t="s">
        <v>436</v>
      </c>
      <c r="C102" s="74" t="s">
        <v>437</v>
      </c>
      <c r="D102" s="74">
        <v>20998.8</v>
      </c>
      <c r="E102" s="52">
        <v>0.68</v>
      </c>
      <c r="F102" s="35">
        <f t="shared" si="7"/>
        <v>14279</v>
      </c>
      <c r="G102" s="74">
        <v>6.17</v>
      </c>
      <c r="H102" s="36">
        <v>0.75</v>
      </c>
      <c r="I102" s="47">
        <f>ROUND(D102*H102,0)</f>
        <v>15749</v>
      </c>
      <c r="J102" s="46" t="s">
        <v>438</v>
      </c>
      <c r="K102" s="46" t="s">
        <v>418</v>
      </c>
      <c r="L102" s="58" t="s">
        <v>500</v>
      </c>
      <c r="M102" s="46"/>
    </row>
    <row r="103" s="2" customFormat="1" ht="22.5" spans="1:13">
      <c r="A103" s="74" t="s">
        <v>446</v>
      </c>
      <c r="B103" s="75" t="s">
        <v>447</v>
      </c>
      <c r="C103" s="76" t="s">
        <v>145</v>
      </c>
      <c r="D103" s="76" t="s">
        <v>145</v>
      </c>
      <c r="E103" s="52"/>
      <c r="F103" s="35" t="str">
        <f t="shared" si="7"/>
        <v/>
      </c>
      <c r="G103" s="76" t="s">
        <v>145</v>
      </c>
      <c r="H103" s="52"/>
      <c r="I103" s="35" t="str">
        <f>IFERROR(ROUND(F103*H103,0),"")</f>
        <v/>
      </c>
      <c r="J103" s="52"/>
      <c r="K103" s="71"/>
      <c r="L103" s="60"/>
      <c r="M103" s="54"/>
    </row>
    <row r="104" s="2" customFormat="1" ht="117" customHeight="1" spans="1:13">
      <c r="A104" s="74" t="s">
        <v>94</v>
      </c>
      <c r="B104" s="75" t="s">
        <v>517</v>
      </c>
      <c r="C104" s="76" t="s">
        <v>437</v>
      </c>
      <c r="D104" s="76">
        <v>1159</v>
      </c>
      <c r="E104" s="52">
        <v>0.68</v>
      </c>
      <c r="F104" s="35">
        <f t="shared" si="7"/>
        <v>788</v>
      </c>
      <c r="G104" s="76">
        <v>6.11</v>
      </c>
      <c r="H104" s="36">
        <v>0.74</v>
      </c>
      <c r="I104" s="47">
        <f>ROUND(D104*H104,0)</f>
        <v>858</v>
      </c>
      <c r="J104" s="46" t="s">
        <v>518</v>
      </c>
      <c r="K104" s="46" t="s">
        <v>418</v>
      </c>
      <c r="L104" s="58" t="s">
        <v>602</v>
      </c>
      <c r="M104" s="46"/>
    </row>
    <row r="105" s="2" customFormat="1" ht="136.5" customHeight="1" spans="1:13">
      <c r="A105" s="74" t="s">
        <v>98</v>
      </c>
      <c r="B105" s="75" t="s">
        <v>436</v>
      </c>
      <c r="C105" s="76" t="s">
        <v>437</v>
      </c>
      <c r="D105" s="76">
        <v>601</v>
      </c>
      <c r="E105" s="52">
        <v>0.68</v>
      </c>
      <c r="F105" s="35">
        <f t="shared" si="7"/>
        <v>409</v>
      </c>
      <c r="G105" s="76">
        <v>6.27</v>
      </c>
      <c r="H105" s="36">
        <v>0.74</v>
      </c>
      <c r="I105" s="47">
        <f>ROUND(D105*H105,0)</f>
        <v>445</v>
      </c>
      <c r="J105" s="46" t="s">
        <v>438</v>
      </c>
      <c r="K105" s="46" t="s">
        <v>418</v>
      </c>
      <c r="L105" s="58" t="s">
        <v>500</v>
      </c>
      <c r="M105" s="46"/>
    </row>
    <row r="106" s="2" customFormat="1" ht="45" spans="1:13">
      <c r="A106" s="77" t="s">
        <v>56</v>
      </c>
      <c r="B106" s="78" t="s">
        <v>725</v>
      </c>
      <c r="C106" s="79" t="s">
        <v>437</v>
      </c>
      <c r="D106" s="79">
        <v>305</v>
      </c>
      <c r="E106" s="52">
        <v>6</v>
      </c>
      <c r="F106" s="35">
        <f t="shared" si="7"/>
        <v>1830</v>
      </c>
      <c r="G106" s="76">
        <v>7.47</v>
      </c>
      <c r="H106" s="80">
        <v>1</v>
      </c>
      <c r="I106" s="47">
        <f>ROUND(D106*H106,0)</f>
        <v>305</v>
      </c>
      <c r="J106" s="49" t="s">
        <v>536</v>
      </c>
      <c r="K106" s="46" t="s">
        <v>418</v>
      </c>
      <c r="L106" s="60" t="s">
        <v>603</v>
      </c>
      <c r="M106" s="54"/>
    </row>
    <row r="107" s="2" customFormat="1" ht="45" spans="1:13">
      <c r="A107" s="77" t="s">
        <v>62</v>
      </c>
      <c r="B107" s="78" t="s">
        <v>535</v>
      </c>
      <c r="C107" s="79" t="s">
        <v>437</v>
      </c>
      <c r="D107" s="79">
        <v>925</v>
      </c>
      <c r="E107" s="52">
        <v>8</v>
      </c>
      <c r="F107" s="35">
        <f t="shared" si="7"/>
        <v>7400</v>
      </c>
      <c r="G107" s="76">
        <v>10.43</v>
      </c>
      <c r="H107" s="80">
        <v>1</v>
      </c>
      <c r="I107" s="47">
        <f>ROUND(D107*H107,0)</f>
        <v>925</v>
      </c>
      <c r="J107" s="49" t="s">
        <v>536</v>
      </c>
      <c r="K107" s="46" t="s">
        <v>418</v>
      </c>
      <c r="L107" s="60" t="s">
        <v>603</v>
      </c>
      <c r="M107" s="54"/>
    </row>
    <row r="108" s="2" customFormat="1" ht="22.5" spans="1:13">
      <c r="A108" s="72" t="s">
        <v>448</v>
      </c>
      <c r="B108" s="73" t="s">
        <v>449</v>
      </c>
      <c r="C108" s="41" t="s">
        <v>145</v>
      </c>
      <c r="D108" s="41" t="s">
        <v>145</v>
      </c>
      <c r="E108" s="52"/>
      <c r="F108" s="35" t="str">
        <f t="shared" si="7"/>
        <v/>
      </c>
      <c r="G108" s="41" t="s">
        <v>145</v>
      </c>
      <c r="H108" s="45"/>
      <c r="I108" s="37"/>
      <c r="J108" s="52"/>
      <c r="K108" s="71"/>
      <c r="L108" s="58"/>
      <c r="M108" s="54"/>
    </row>
    <row r="109" s="2" customFormat="1" ht="100.5" customHeight="1" spans="1:13">
      <c r="A109" s="72" t="s">
        <v>450</v>
      </c>
      <c r="B109" s="73" t="s">
        <v>451</v>
      </c>
      <c r="C109" s="41" t="s">
        <v>39</v>
      </c>
      <c r="D109" s="41">
        <v>75</v>
      </c>
      <c r="E109" s="52">
        <v>12</v>
      </c>
      <c r="F109" s="35">
        <f t="shared" si="7"/>
        <v>900</v>
      </c>
      <c r="G109" s="41">
        <v>19.96</v>
      </c>
      <c r="H109" s="36">
        <v>12</v>
      </c>
      <c r="I109" s="47">
        <f>ROUND(D109*H109,0)</f>
        <v>900</v>
      </c>
      <c r="J109" s="46" t="s">
        <v>25</v>
      </c>
      <c r="K109" s="46" t="s">
        <v>418</v>
      </c>
      <c r="L109" s="60" t="s">
        <v>452</v>
      </c>
      <c r="M109" s="54"/>
    </row>
    <row r="110" s="2" customFormat="1" ht="82.5" customHeight="1" spans="1:13">
      <c r="A110" s="72" t="s">
        <v>453</v>
      </c>
      <c r="B110" s="73" t="s">
        <v>454</v>
      </c>
      <c r="C110" s="41" t="s">
        <v>39</v>
      </c>
      <c r="D110" s="41">
        <v>117</v>
      </c>
      <c r="E110" s="52">
        <v>36</v>
      </c>
      <c r="F110" s="35">
        <f t="shared" si="7"/>
        <v>4212</v>
      </c>
      <c r="G110" s="41">
        <v>52.88</v>
      </c>
      <c r="H110" s="36">
        <v>35</v>
      </c>
      <c r="I110" s="47">
        <f>ROUND(D110*H110,0)</f>
        <v>4095</v>
      </c>
      <c r="J110" s="46" t="s">
        <v>25</v>
      </c>
      <c r="K110" s="46" t="s">
        <v>418</v>
      </c>
      <c r="L110" s="60" t="s">
        <v>455</v>
      </c>
      <c r="M110" s="54"/>
    </row>
    <row r="111" s="2" customFormat="1" ht="22.5" spans="1:13">
      <c r="A111" s="72" t="s">
        <v>464</v>
      </c>
      <c r="B111" s="73" t="s">
        <v>465</v>
      </c>
      <c r="C111" s="41" t="s">
        <v>145</v>
      </c>
      <c r="D111" s="41" t="s">
        <v>145</v>
      </c>
      <c r="E111" s="52"/>
      <c r="F111" s="35" t="str">
        <f t="shared" si="7"/>
        <v/>
      </c>
      <c r="G111" s="41" t="s">
        <v>145</v>
      </c>
      <c r="H111" s="45"/>
      <c r="I111" s="37"/>
      <c r="J111" s="52"/>
      <c r="K111" s="71"/>
      <c r="L111" s="58"/>
      <c r="M111" s="54"/>
    </row>
    <row r="112" s="2" customFormat="1" ht="90" spans="1:13">
      <c r="A112" s="72" t="s">
        <v>466</v>
      </c>
      <c r="B112" s="73" t="s">
        <v>467</v>
      </c>
      <c r="C112" s="41" t="s">
        <v>145</v>
      </c>
      <c r="D112" s="41" t="s">
        <v>145</v>
      </c>
      <c r="E112" s="52"/>
      <c r="F112" s="35" t="str">
        <f t="shared" si="7"/>
        <v/>
      </c>
      <c r="G112" s="41" t="s">
        <v>145</v>
      </c>
      <c r="H112" s="45"/>
      <c r="I112" s="37"/>
      <c r="J112" s="52"/>
      <c r="K112" s="71"/>
      <c r="L112" s="58"/>
      <c r="M112" s="54"/>
    </row>
    <row r="113" s="2" customFormat="1" ht="137.25" customHeight="1" spans="1:13">
      <c r="A113" s="72" t="s">
        <v>94</v>
      </c>
      <c r="B113" s="73" t="s">
        <v>468</v>
      </c>
      <c r="C113" s="41" t="s">
        <v>39</v>
      </c>
      <c r="D113" s="41">
        <v>81.49</v>
      </c>
      <c r="E113" s="52">
        <v>100</v>
      </c>
      <c r="F113" s="35">
        <f t="shared" si="7"/>
        <v>8149</v>
      </c>
      <c r="G113" s="41">
        <v>693</v>
      </c>
      <c r="H113" s="36">
        <v>140</v>
      </c>
      <c r="I113" s="47">
        <f>ROUND(D113*H113,0)</f>
        <v>11409</v>
      </c>
      <c r="J113" s="46" t="s">
        <v>424</v>
      </c>
      <c r="K113" s="46" t="s">
        <v>418</v>
      </c>
      <c r="L113" s="64" t="s">
        <v>472</v>
      </c>
      <c r="M113" s="49" t="s">
        <v>504</v>
      </c>
    </row>
    <row r="114" s="2" customFormat="1" ht="22.5" spans="1:13">
      <c r="A114" s="72" t="s">
        <v>473</v>
      </c>
      <c r="B114" s="73" t="s">
        <v>474</v>
      </c>
      <c r="C114" s="41" t="s">
        <v>145</v>
      </c>
      <c r="D114" s="41" t="s">
        <v>145</v>
      </c>
      <c r="E114" s="52"/>
      <c r="F114" s="35" t="str">
        <f t="shared" ref="F114:F149" si="8">IFERROR(ROUND(D114*E114,0),"")</f>
        <v/>
      </c>
      <c r="G114" s="41" t="s">
        <v>145</v>
      </c>
      <c r="H114" s="45"/>
      <c r="I114" s="37"/>
      <c r="J114" s="52"/>
      <c r="K114" s="71"/>
      <c r="L114" s="58"/>
      <c r="M114" s="54"/>
    </row>
    <row r="115" s="2" customFormat="1" ht="22.5" spans="1:13">
      <c r="A115" s="72" t="s">
        <v>94</v>
      </c>
      <c r="B115" s="73" t="s">
        <v>475</v>
      </c>
      <c r="C115" s="41" t="s">
        <v>145</v>
      </c>
      <c r="D115" s="41" t="s">
        <v>145</v>
      </c>
      <c r="E115" s="52"/>
      <c r="F115" s="35" t="str">
        <f t="shared" si="8"/>
        <v/>
      </c>
      <c r="G115" s="41" t="s">
        <v>145</v>
      </c>
      <c r="H115" s="45"/>
      <c r="I115" s="37"/>
      <c r="J115" s="52"/>
      <c r="K115" s="71"/>
      <c r="L115" s="58"/>
      <c r="M115" s="54"/>
    </row>
    <row r="116" s="2" customFormat="1" ht="130.5" customHeight="1" spans="1:13">
      <c r="A116" s="72" t="s">
        <v>43</v>
      </c>
      <c r="B116" s="73" t="s">
        <v>726</v>
      </c>
      <c r="C116" s="41" t="s">
        <v>39</v>
      </c>
      <c r="D116" s="41">
        <v>95</v>
      </c>
      <c r="E116" s="52">
        <v>100</v>
      </c>
      <c r="F116" s="35">
        <f t="shared" si="8"/>
        <v>9500</v>
      </c>
      <c r="G116" s="41">
        <v>886.33</v>
      </c>
      <c r="H116" s="36">
        <v>200</v>
      </c>
      <c r="I116" s="47">
        <f>ROUND(D116*H116,0)</f>
        <v>19000</v>
      </c>
      <c r="J116" s="46" t="s">
        <v>424</v>
      </c>
      <c r="K116" s="46" t="s">
        <v>418</v>
      </c>
      <c r="L116" s="64" t="s">
        <v>472</v>
      </c>
      <c r="M116" s="49" t="s">
        <v>504</v>
      </c>
    </row>
    <row r="117" s="2" customFormat="1" ht="22.5" spans="1:13">
      <c r="A117" s="72" t="s">
        <v>98</v>
      </c>
      <c r="B117" s="73" t="s">
        <v>539</v>
      </c>
      <c r="C117" s="41" t="s">
        <v>145</v>
      </c>
      <c r="D117" s="41" t="s">
        <v>145</v>
      </c>
      <c r="E117" s="52"/>
      <c r="F117" s="35" t="str">
        <f t="shared" si="8"/>
        <v/>
      </c>
      <c r="G117" s="41" t="s">
        <v>145</v>
      </c>
      <c r="H117" s="45"/>
      <c r="I117" s="37"/>
      <c r="J117" s="52"/>
      <c r="K117" s="71"/>
      <c r="L117" s="58"/>
      <c r="M117" s="54"/>
    </row>
    <row r="118" s="2" customFormat="1" ht="115.5" customHeight="1" spans="1:13">
      <c r="A118" s="72" t="s">
        <v>289</v>
      </c>
      <c r="B118" s="73" t="s">
        <v>727</v>
      </c>
      <c r="C118" s="41" t="s">
        <v>39</v>
      </c>
      <c r="D118" s="41">
        <v>31.3</v>
      </c>
      <c r="E118" s="52">
        <v>260</v>
      </c>
      <c r="F118" s="35">
        <f t="shared" si="8"/>
        <v>8138</v>
      </c>
      <c r="G118" s="41">
        <v>1077.33</v>
      </c>
      <c r="H118" s="45">
        <v>320</v>
      </c>
      <c r="I118" s="37">
        <f>ROUND(D118*H118,0)</f>
        <v>10016</v>
      </c>
      <c r="J118" s="46" t="s">
        <v>424</v>
      </c>
      <c r="K118" s="46" t="s">
        <v>418</v>
      </c>
      <c r="L118" s="64" t="s">
        <v>728</v>
      </c>
      <c r="M118" s="49" t="s">
        <v>504</v>
      </c>
    </row>
    <row r="119" s="2" customFormat="1" ht="22.5" spans="1:13">
      <c r="A119" s="72" t="s">
        <v>50</v>
      </c>
      <c r="B119" s="73" t="s">
        <v>541</v>
      </c>
      <c r="C119" s="41" t="s">
        <v>145</v>
      </c>
      <c r="D119" s="41" t="s">
        <v>145</v>
      </c>
      <c r="E119" s="52"/>
      <c r="F119" s="35" t="str">
        <f t="shared" si="8"/>
        <v/>
      </c>
      <c r="G119" s="41" t="s">
        <v>145</v>
      </c>
      <c r="H119" s="45"/>
      <c r="I119" s="37"/>
      <c r="J119" s="52"/>
      <c r="K119" s="71"/>
      <c r="L119" s="58"/>
      <c r="M119" s="54"/>
    </row>
    <row r="120" s="2" customFormat="1" ht="108.75" customHeight="1" spans="1:13">
      <c r="A120" s="72" t="s">
        <v>52</v>
      </c>
      <c r="B120" s="73" t="s">
        <v>542</v>
      </c>
      <c r="C120" s="41" t="s">
        <v>39</v>
      </c>
      <c r="D120" s="41">
        <v>3.6</v>
      </c>
      <c r="E120" s="52">
        <v>260</v>
      </c>
      <c r="F120" s="35">
        <f t="shared" si="8"/>
        <v>936</v>
      </c>
      <c r="G120" s="41">
        <v>1059.12</v>
      </c>
      <c r="H120" s="45">
        <v>350</v>
      </c>
      <c r="I120" s="37">
        <f>ROUND(D120*H120,0)</f>
        <v>1260</v>
      </c>
      <c r="J120" s="46" t="s">
        <v>424</v>
      </c>
      <c r="K120" s="46" t="s">
        <v>418</v>
      </c>
      <c r="L120" s="64" t="s">
        <v>728</v>
      </c>
      <c r="M120" s="49" t="s">
        <v>504</v>
      </c>
    </row>
    <row r="121" s="2" customFormat="1" ht="22.5" spans="1:13">
      <c r="A121" s="72" t="s">
        <v>56</v>
      </c>
      <c r="B121" s="73" t="s">
        <v>479</v>
      </c>
      <c r="C121" s="41" t="s">
        <v>145</v>
      </c>
      <c r="D121" s="41" t="s">
        <v>145</v>
      </c>
      <c r="E121" s="52"/>
      <c r="F121" s="35" t="str">
        <f t="shared" si="8"/>
        <v/>
      </c>
      <c r="G121" s="41" t="s">
        <v>145</v>
      </c>
      <c r="H121" s="45"/>
      <c r="I121" s="37"/>
      <c r="J121" s="52"/>
      <c r="K121" s="71"/>
      <c r="L121" s="58"/>
      <c r="M121" s="54"/>
    </row>
    <row r="122" s="2" customFormat="1" ht="106.5" customHeight="1" spans="1:13">
      <c r="A122" s="72" t="s">
        <v>672</v>
      </c>
      <c r="B122" s="73" t="s">
        <v>729</v>
      </c>
      <c r="C122" s="41" t="s">
        <v>39</v>
      </c>
      <c r="D122" s="41">
        <v>2.2</v>
      </c>
      <c r="E122" s="52">
        <v>240</v>
      </c>
      <c r="F122" s="35">
        <f t="shared" si="8"/>
        <v>528</v>
      </c>
      <c r="G122" s="41">
        <v>920.08</v>
      </c>
      <c r="H122" s="36">
        <v>200</v>
      </c>
      <c r="I122" s="37">
        <f>ROUND(D122*H122,0)</f>
        <v>440</v>
      </c>
      <c r="J122" s="46" t="s">
        <v>424</v>
      </c>
      <c r="K122" s="46" t="s">
        <v>418</v>
      </c>
      <c r="L122" s="64" t="s">
        <v>728</v>
      </c>
      <c r="M122" s="49" t="s">
        <v>504</v>
      </c>
    </row>
    <row r="123" ht="45" spans="1:13">
      <c r="A123" s="74" t="s">
        <v>545</v>
      </c>
      <c r="B123" s="74" t="s">
        <v>546</v>
      </c>
      <c r="C123" s="74" t="s">
        <v>145</v>
      </c>
      <c r="D123" s="74" t="s">
        <v>145</v>
      </c>
      <c r="E123" s="43"/>
      <c r="F123" s="35" t="str">
        <f t="shared" si="8"/>
        <v/>
      </c>
      <c r="G123" s="74" t="s">
        <v>145</v>
      </c>
      <c r="H123" s="35"/>
      <c r="I123" s="35"/>
      <c r="J123" s="46"/>
      <c r="K123" s="46"/>
      <c r="L123" s="46"/>
      <c r="M123" s="46"/>
    </row>
    <row r="124" ht="22.5" spans="1:13">
      <c r="A124" s="74" t="s">
        <v>94</v>
      </c>
      <c r="B124" s="74" t="s">
        <v>547</v>
      </c>
      <c r="C124" s="74" t="s">
        <v>145</v>
      </c>
      <c r="D124" s="74" t="s">
        <v>145</v>
      </c>
      <c r="E124" s="43"/>
      <c r="F124" s="35" t="str">
        <f t="shared" si="8"/>
        <v/>
      </c>
      <c r="G124" s="74" t="s">
        <v>145</v>
      </c>
      <c r="H124" s="35"/>
      <c r="I124" s="35"/>
      <c r="J124" s="46"/>
      <c r="K124" s="46"/>
      <c r="L124" s="46"/>
      <c r="M124" s="46"/>
    </row>
    <row r="125" ht="97.5" customHeight="1" spans="1:13">
      <c r="A125" s="74" t="s">
        <v>37</v>
      </c>
      <c r="B125" s="74" t="s">
        <v>548</v>
      </c>
      <c r="C125" s="74" t="s">
        <v>39</v>
      </c>
      <c r="D125" s="74">
        <v>58.6</v>
      </c>
      <c r="E125" s="43">
        <v>900</v>
      </c>
      <c r="F125" s="35">
        <f t="shared" si="8"/>
        <v>52740</v>
      </c>
      <c r="G125" s="81">
        <v>3121.98</v>
      </c>
      <c r="H125" s="35">
        <v>900</v>
      </c>
      <c r="I125" s="37">
        <f>ROUND(D125*H125,0)</f>
        <v>52740</v>
      </c>
      <c r="J125" s="46" t="s">
        <v>424</v>
      </c>
      <c r="K125" s="46" t="s">
        <v>418</v>
      </c>
      <c r="L125" s="46" t="s">
        <v>549</v>
      </c>
      <c r="M125" s="49" t="s">
        <v>550</v>
      </c>
    </row>
    <row r="126" ht="22.5" spans="1:13">
      <c r="A126" s="74" t="s">
        <v>50</v>
      </c>
      <c r="B126" s="74" t="s">
        <v>730</v>
      </c>
      <c r="C126" s="74" t="s">
        <v>145</v>
      </c>
      <c r="D126" s="74" t="s">
        <v>145</v>
      </c>
      <c r="E126" s="43"/>
      <c r="F126" s="35" t="str">
        <f t="shared" si="8"/>
        <v/>
      </c>
      <c r="G126" s="74" t="s">
        <v>145</v>
      </c>
      <c r="H126" s="35"/>
      <c r="I126" s="35"/>
      <c r="J126" s="46"/>
      <c r="K126" s="46"/>
      <c r="L126" s="46"/>
      <c r="M126" s="46"/>
    </row>
    <row r="127" ht="90" customHeight="1" spans="1:13">
      <c r="A127" s="74" t="s">
        <v>52</v>
      </c>
      <c r="B127" s="74" t="s">
        <v>731</v>
      </c>
      <c r="C127" s="74" t="s">
        <v>39</v>
      </c>
      <c r="D127" s="74">
        <v>11.2</v>
      </c>
      <c r="E127" s="43">
        <v>900</v>
      </c>
      <c r="F127" s="35">
        <f t="shared" si="8"/>
        <v>10080</v>
      </c>
      <c r="G127" s="81">
        <v>1358.94</v>
      </c>
      <c r="H127" s="35">
        <v>900</v>
      </c>
      <c r="I127" s="37">
        <f>ROUND(D127*H127,0)</f>
        <v>10080</v>
      </c>
      <c r="J127" s="46" t="s">
        <v>424</v>
      </c>
      <c r="K127" s="46" t="s">
        <v>418</v>
      </c>
      <c r="L127" s="46" t="s">
        <v>732</v>
      </c>
      <c r="M127" s="46"/>
    </row>
    <row r="128" s="2" customFormat="1" ht="45" spans="1:13">
      <c r="A128" s="74" t="s">
        <v>482</v>
      </c>
      <c r="B128" s="75" t="s">
        <v>483</v>
      </c>
      <c r="C128" s="76" t="s">
        <v>145</v>
      </c>
      <c r="D128" s="76" t="s">
        <v>145</v>
      </c>
      <c r="E128" s="52"/>
      <c r="F128" s="35" t="str">
        <f t="shared" si="8"/>
        <v/>
      </c>
      <c r="G128" s="76" t="s">
        <v>145</v>
      </c>
      <c r="H128" s="35"/>
      <c r="I128" s="35"/>
      <c r="J128" s="52"/>
      <c r="K128" s="71"/>
      <c r="L128" s="60"/>
      <c r="M128" s="54"/>
    </row>
    <row r="129" s="2" customFormat="1" ht="22.5" spans="1:13">
      <c r="A129" s="74" t="s">
        <v>98</v>
      </c>
      <c r="B129" s="75" t="s">
        <v>552</v>
      </c>
      <c r="C129" s="76" t="s">
        <v>145</v>
      </c>
      <c r="D129" s="76" t="s">
        <v>145</v>
      </c>
      <c r="E129" s="52"/>
      <c r="F129" s="35" t="str">
        <f t="shared" si="8"/>
        <v/>
      </c>
      <c r="G129" s="76" t="s">
        <v>145</v>
      </c>
      <c r="H129" s="35"/>
      <c r="I129" s="35"/>
      <c r="J129" s="52"/>
      <c r="K129" s="71"/>
      <c r="L129" s="60"/>
      <c r="M129" s="54"/>
    </row>
    <row r="130" s="2" customFormat="1" ht="113.25" customHeight="1" spans="1:13">
      <c r="A130" s="74" t="s">
        <v>289</v>
      </c>
      <c r="B130" s="75" t="s">
        <v>553</v>
      </c>
      <c r="C130" s="76" t="s">
        <v>39</v>
      </c>
      <c r="D130" s="76">
        <v>6.04</v>
      </c>
      <c r="E130" s="52">
        <v>200</v>
      </c>
      <c r="F130" s="35">
        <f t="shared" si="8"/>
        <v>1208</v>
      </c>
      <c r="G130" s="76">
        <v>801.35</v>
      </c>
      <c r="H130" s="35">
        <v>200</v>
      </c>
      <c r="I130" s="37">
        <f>ROUND(D130*H130,0)</f>
        <v>1208</v>
      </c>
      <c r="J130" s="46" t="s">
        <v>424</v>
      </c>
      <c r="K130" s="46" t="s">
        <v>418</v>
      </c>
      <c r="L130" s="60" t="s">
        <v>481</v>
      </c>
      <c r="M130" s="49" t="s">
        <v>504</v>
      </c>
    </row>
    <row r="131" s="2" customFormat="1" ht="22.5" spans="1:13">
      <c r="A131" s="74" t="s">
        <v>310</v>
      </c>
      <c r="B131" s="75" t="s">
        <v>733</v>
      </c>
      <c r="C131" s="76" t="s">
        <v>145</v>
      </c>
      <c r="D131" s="76" t="s">
        <v>145</v>
      </c>
      <c r="E131" s="52"/>
      <c r="F131" s="35" t="str">
        <f t="shared" si="8"/>
        <v/>
      </c>
      <c r="G131" s="76" t="s">
        <v>145</v>
      </c>
      <c r="H131" s="35"/>
      <c r="I131" s="35"/>
      <c r="J131" s="52"/>
      <c r="K131" s="71"/>
      <c r="L131" s="60"/>
      <c r="M131" s="54"/>
    </row>
    <row r="132" s="2" customFormat="1" ht="100.5" customHeight="1" spans="1:13">
      <c r="A132" s="74" t="s">
        <v>679</v>
      </c>
      <c r="B132" s="75" t="s">
        <v>734</v>
      </c>
      <c r="C132" s="76" t="s">
        <v>39</v>
      </c>
      <c r="D132" s="76">
        <v>2.03</v>
      </c>
      <c r="E132" s="52">
        <v>200</v>
      </c>
      <c r="F132" s="35">
        <f t="shared" si="8"/>
        <v>406</v>
      </c>
      <c r="G132" s="76">
        <v>635.84</v>
      </c>
      <c r="H132" s="35">
        <v>200</v>
      </c>
      <c r="I132" s="37">
        <f>ROUND(D132*H132,0)</f>
        <v>406</v>
      </c>
      <c r="J132" s="46" t="s">
        <v>424</v>
      </c>
      <c r="K132" s="46" t="s">
        <v>418</v>
      </c>
      <c r="L132" s="60" t="s">
        <v>735</v>
      </c>
      <c r="M132" s="49" t="s">
        <v>504</v>
      </c>
    </row>
    <row r="133" s="2" customFormat="1" ht="45" spans="1:13">
      <c r="A133" s="74" t="s">
        <v>493</v>
      </c>
      <c r="B133" s="75" t="s">
        <v>718</v>
      </c>
      <c r="C133" s="76" t="s">
        <v>145</v>
      </c>
      <c r="D133" s="76" t="s">
        <v>145</v>
      </c>
      <c r="E133" s="52"/>
      <c r="F133" s="35" t="str">
        <f t="shared" si="8"/>
        <v/>
      </c>
      <c r="G133" s="76" t="s">
        <v>145</v>
      </c>
      <c r="H133" s="35"/>
      <c r="I133" s="35"/>
      <c r="J133" s="52"/>
      <c r="K133" s="71"/>
      <c r="L133" s="60"/>
      <c r="M133" s="54"/>
    </row>
    <row r="134" s="2" customFormat="1" ht="22.5" spans="1:13">
      <c r="A134" s="74" t="s">
        <v>98</v>
      </c>
      <c r="B134" s="75" t="s">
        <v>736</v>
      </c>
      <c r="C134" s="76" t="s">
        <v>145</v>
      </c>
      <c r="D134" s="76" t="s">
        <v>145</v>
      </c>
      <c r="E134" s="52"/>
      <c r="F134" s="35" t="str">
        <f t="shared" si="8"/>
        <v/>
      </c>
      <c r="G134" s="76" t="s">
        <v>145</v>
      </c>
      <c r="H134" s="35"/>
      <c r="I134" s="35"/>
      <c r="J134" s="52"/>
      <c r="K134" s="71"/>
      <c r="L134" s="60"/>
      <c r="M134" s="54"/>
    </row>
    <row r="135" s="2" customFormat="1" ht="137.25" customHeight="1" spans="1:13">
      <c r="A135" s="74" t="s">
        <v>78</v>
      </c>
      <c r="B135" s="75" t="s">
        <v>737</v>
      </c>
      <c r="C135" s="76" t="s">
        <v>39</v>
      </c>
      <c r="D135" s="76">
        <v>4.9</v>
      </c>
      <c r="E135" s="52">
        <v>200</v>
      </c>
      <c r="F135" s="35">
        <f t="shared" si="8"/>
        <v>980</v>
      </c>
      <c r="G135" s="76">
        <v>1439.27</v>
      </c>
      <c r="H135" s="35">
        <v>200</v>
      </c>
      <c r="I135" s="37">
        <f>ROUND(D135*H135,0)</f>
        <v>980</v>
      </c>
      <c r="J135" s="46" t="s">
        <v>424</v>
      </c>
      <c r="K135" s="46" t="s">
        <v>418</v>
      </c>
      <c r="L135" s="60" t="s">
        <v>738</v>
      </c>
      <c r="M135" s="54"/>
    </row>
    <row r="136" s="2" customFormat="1" ht="22.5" spans="1:13">
      <c r="A136" s="74" t="s">
        <v>554</v>
      </c>
      <c r="B136" s="75" t="s">
        <v>555</v>
      </c>
      <c r="C136" s="76" t="s">
        <v>145</v>
      </c>
      <c r="D136" s="76" t="s">
        <v>145</v>
      </c>
      <c r="E136" s="52"/>
      <c r="F136" s="35" t="str">
        <f t="shared" si="8"/>
        <v/>
      </c>
      <c r="G136" s="76" t="s">
        <v>145</v>
      </c>
      <c r="H136" s="35"/>
      <c r="I136" s="35"/>
      <c r="J136" s="52"/>
      <c r="K136" s="71"/>
      <c r="L136" s="60"/>
      <c r="M136" s="54"/>
    </row>
    <row r="137" s="2" customFormat="1" ht="72.75" customHeight="1" spans="1:13">
      <c r="A137" s="74" t="s">
        <v>739</v>
      </c>
      <c r="B137" s="75" t="s">
        <v>740</v>
      </c>
      <c r="C137" s="76" t="s">
        <v>39</v>
      </c>
      <c r="D137" s="76">
        <v>7.1</v>
      </c>
      <c r="E137" s="52">
        <v>450</v>
      </c>
      <c r="F137" s="35">
        <f t="shared" si="8"/>
        <v>3195</v>
      </c>
      <c r="G137" s="76">
        <v>838.11</v>
      </c>
      <c r="H137" s="35">
        <v>450</v>
      </c>
      <c r="I137" s="37">
        <f>ROUND(D137*H137,0)</f>
        <v>3195</v>
      </c>
      <c r="J137" s="46" t="s">
        <v>25</v>
      </c>
      <c r="K137" s="46" t="s">
        <v>418</v>
      </c>
      <c r="L137" s="60" t="s">
        <v>741</v>
      </c>
      <c r="M137" s="54"/>
    </row>
    <row r="138" s="2" customFormat="1" ht="22.5" spans="1:13">
      <c r="A138" s="74" t="s">
        <v>561</v>
      </c>
      <c r="B138" s="75" t="s">
        <v>562</v>
      </c>
      <c r="C138" s="76" t="s">
        <v>145</v>
      </c>
      <c r="D138" s="76" t="s">
        <v>145</v>
      </c>
      <c r="E138" s="52"/>
      <c r="F138" s="35" t="str">
        <f t="shared" si="8"/>
        <v/>
      </c>
      <c r="G138" s="76" t="s">
        <v>145</v>
      </c>
      <c r="H138" s="35"/>
      <c r="I138" s="35"/>
      <c r="J138" s="52"/>
      <c r="K138" s="71"/>
      <c r="L138" s="60"/>
      <c r="M138" s="54"/>
    </row>
    <row r="139" s="2" customFormat="1" ht="120" customHeight="1" spans="1:13">
      <c r="A139" s="74" t="s">
        <v>98</v>
      </c>
      <c r="B139" s="75" t="s">
        <v>563</v>
      </c>
      <c r="C139" s="76" t="s">
        <v>48</v>
      </c>
      <c r="D139" s="76">
        <v>141.5</v>
      </c>
      <c r="E139" s="52">
        <v>2</v>
      </c>
      <c r="F139" s="35">
        <f t="shared" si="8"/>
        <v>283</v>
      </c>
      <c r="G139" s="76">
        <v>21.78</v>
      </c>
      <c r="H139" s="35">
        <v>2</v>
      </c>
      <c r="I139" s="37">
        <f>ROUND(D139*H139,0)</f>
        <v>283</v>
      </c>
      <c r="J139" s="46" t="s">
        <v>564</v>
      </c>
      <c r="K139" s="71" t="s">
        <v>565</v>
      </c>
      <c r="L139" s="60" t="s">
        <v>622</v>
      </c>
      <c r="M139" s="54"/>
    </row>
    <row r="140" s="2" customFormat="1" ht="22.5" spans="1:13">
      <c r="A140" s="74" t="s">
        <v>576</v>
      </c>
      <c r="B140" s="75" t="s">
        <v>577</v>
      </c>
      <c r="C140" s="76" t="s">
        <v>145</v>
      </c>
      <c r="D140" s="76" t="s">
        <v>145</v>
      </c>
      <c r="E140" s="52"/>
      <c r="F140" s="35" t="str">
        <f t="shared" si="8"/>
        <v/>
      </c>
      <c r="G140" s="76" t="s">
        <v>145</v>
      </c>
      <c r="H140" s="35"/>
      <c r="I140" s="35"/>
      <c r="J140" s="52"/>
      <c r="K140" s="71"/>
      <c r="L140" s="60"/>
      <c r="M140" s="54"/>
    </row>
    <row r="141" s="2" customFormat="1" ht="22.5" spans="1:13">
      <c r="A141" s="74" t="s">
        <v>578</v>
      </c>
      <c r="B141" s="75" t="s">
        <v>579</v>
      </c>
      <c r="C141" s="76" t="s">
        <v>742</v>
      </c>
      <c r="D141" s="76">
        <v>3.12</v>
      </c>
      <c r="E141" s="52"/>
      <c r="F141" s="35">
        <f t="shared" si="8"/>
        <v>0</v>
      </c>
      <c r="G141" s="76">
        <v>182.11</v>
      </c>
      <c r="H141" s="35"/>
      <c r="I141" s="35"/>
      <c r="J141" s="52"/>
      <c r="K141" s="71"/>
      <c r="L141" s="60"/>
      <c r="M141" s="54"/>
    </row>
    <row r="142" s="2" customFormat="1" ht="110.25" customHeight="1" spans="1:13">
      <c r="A142" s="74" t="s">
        <v>94</v>
      </c>
      <c r="B142" s="75" t="s">
        <v>580</v>
      </c>
      <c r="C142" s="76" t="s">
        <v>287</v>
      </c>
      <c r="D142" s="76">
        <v>8</v>
      </c>
      <c r="E142" s="52">
        <v>7.5</v>
      </c>
      <c r="F142" s="35">
        <f t="shared" si="8"/>
        <v>60</v>
      </c>
      <c r="G142" s="76"/>
      <c r="H142" s="35">
        <v>20</v>
      </c>
      <c r="I142" s="37">
        <f t="shared" ref="I142:I149" si="9">ROUND(D142*H142,0)</f>
        <v>160</v>
      </c>
      <c r="J142" s="46" t="s">
        <v>581</v>
      </c>
      <c r="K142" s="60" t="s">
        <v>582</v>
      </c>
      <c r="L142" s="60" t="s">
        <v>583</v>
      </c>
      <c r="M142" s="54"/>
    </row>
    <row r="143" s="2" customFormat="1" ht="91.5" customHeight="1" spans="1:13">
      <c r="A143" s="74" t="s">
        <v>584</v>
      </c>
      <c r="B143" s="75" t="s">
        <v>585</v>
      </c>
      <c r="C143" s="76" t="s">
        <v>85</v>
      </c>
      <c r="D143" s="76">
        <v>80</v>
      </c>
      <c r="E143" s="52">
        <v>30</v>
      </c>
      <c r="F143" s="35">
        <f t="shared" si="8"/>
        <v>2400</v>
      </c>
      <c r="G143" s="76">
        <v>128.85</v>
      </c>
      <c r="H143" s="35">
        <v>10</v>
      </c>
      <c r="I143" s="37">
        <f t="shared" si="9"/>
        <v>800</v>
      </c>
      <c r="J143" s="46" t="s">
        <v>586</v>
      </c>
      <c r="K143" s="71" t="s">
        <v>587</v>
      </c>
      <c r="L143" s="60" t="s">
        <v>588</v>
      </c>
      <c r="M143" s="54"/>
    </row>
    <row r="144" s="2" customFormat="1" ht="128.25" customHeight="1" spans="1:13">
      <c r="A144" s="74" t="s">
        <v>743</v>
      </c>
      <c r="B144" s="75" t="s">
        <v>744</v>
      </c>
      <c r="C144" s="76" t="s">
        <v>39</v>
      </c>
      <c r="D144" s="76">
        <v>5.8</v>
      </c>
      <c r="E144" s="52">
        <v>305</v>
      </c>
      <c r="F144" s="35">
        <f t="shared" si="8"/>
        <v>1769</v>
      </c>
      <c r="G144" s="76">
        <v>385.36</v>
      </c>
      <c r="H144" s="82">
        <v>150</v>
      </c>
      <c r="I144" s="37">
        <f t="shared" si="9"/>
        <v>870</v>
      </c>
      <c r="J144" s="49" t="s">
        <v>745</v>
      </c>
      <c r="K144" s="46" t="s">
        <v>418</v>
      </c>
      <c r="L144" s="60" t="s">
        <v>746</v>
      </c>
      <c r="M144" s="54"/>
    </row>
    <row r="145" s="2" customFormat="1" ht="118.5" customHeight="1" spans="1:13">
      <c r="A145" s="74" t="s">
        <v>589</v>
      </c>
      <c r="B145" s="78" t="s">
        <v>747</v>
      </c>
      <c r="C145" s="76" t="s">
        <v>39</v>
      </c>
      <c r="D145" s="76">
        <v>13.9</v>
      </c>
      <c r="E145" s="52">
        <v>345</v>
      </c>
      <c r="F145" s="35">
        <f t="shared" si="8"/>
        <v>4796</v>
      </c>
      <c r="G145" s="76">
        <v>499.74</v>
      </c>
      <c r="H145" s="82">
        <v>240</v>
      </c>
      <c r="I145" s="37">
        <f t="shared" si="9"/>
        <v>3336</v>
      </c>
      <c r="J145" s="49" t="s">
        <v>591</v>
      </c>
      <c r="K145" s="46" t="s">
        <v>418</v>
      </c>
      <c r="L145" s="83" t="s">
        <v>748</v>
      </c>
      <c r="M145" s="84" t="s">
        <v>593</v>
      </c>
    </row>
    <row r="146" s="2" customFormat="1" ht="91.5" customHeight="1" spans="1:13">
      <c r="A146" s="74" t="s">
        <v>594</v>
      </c>
      <c r="B146" s="75" t="s">
        <v>595</v>
      </c>
      <c r="C146" s="76" t="s">
        <v>437</v>
      </c>
      <c r="D146" s="76">
        <v>15.7</v>
      </c>
      <c r="E146" s="52">
        <v>6</v>
      </c>
      <c r="F146" s="35">
        <f t="shared" si="8"/>
        <v>94</v>
      </c>
      <c r="G146" s="76">
        <v>7.1</v>
      </c>
      <c r="H146" s="82">
        <v>2</v>
      </c>
      <c r="I146" s="37">
        <f t="shared" si="9"/>
        <v>31</v>
      </c>
      <c r="J146" s="49" t="s">
        <v>596</v>
      </c>
      <c r="K146" s="46" t="s">
        <v>418</v>
      </c>
      <c r="L146" s="60" t="s">
        <v>597</v>
      </c>
      <c r="M146" s="54"/>
    </row>
    <row r="147" s="2" customFormat="1" ht="91.5" customHeight="1" spans="1:13">
      <c r="A147" s="74" t="s">
        <v>749</v>
      </c>
      <c r="B147" s="75" t="s">
        <v>750</v>
      </c>
      <c r="C147" s="76" t="s">
        <v>85</v>
      </c>
      <c r="D147" s="76">
        <v>47</v>
      </c>
      <c r="E147" s="52">
        <v>45</v>
      </c>
      <c r="F147" s="35">
        <f t="shared" si="8"/>
        <v>2115</v>
      </c>
      <c r="G147" s="76">
        <v>156.91</v>
      </c>
      <c r="H147" s="82">
        <v>8</v>
      </c>
      <c r="I147" s="37">
        <f t="shared" si="9"/>
        <v>376</v>
      </c>
      <c r="J147" s="49" t="s">
        <v>575</v>
      </c>
      <c r="K147" s="46" t="s">
        <v>418</v>
      </c>
      <c r="L147" s="60" t="s">
        <v>751</v>
      </c>
      <c r="M147" s="54"/>
    </row>
    <row r="148" s="2" customFormat="1" ht="45" spans="1:13">
      <c r="A148" s="74" t="s">
        <v>752</v>
      </c>
      <c r="B148" s="75" t="s">
        <v>753</v>
      </c>
      <c r="C148" s="76" t="s">
        <v>39</v>
      </c>
      <c r="D148" s="76">
        <v>5.9</v>
      </c>
      <c r="E148" s="52">
        <v>130</v>
      </c>
      <c r="F148" s="35">
        <f t="shared" si="8"/>
        <v>767</v>
      </c>
      <c r="G148" s="76">
        <v>721.71</v>
      </c>
      <c r="H148" s="35">
        <v>130</v>
      </c>
      <c r="I148" s="37">
        <f t="shared" si="9"/>
        <v>767</v>
      </c>
      <c r="J148" s="46" t="s">
        <v>424</v>
      </c>
      <c r="K148" s="71" t="s">
        <v>754</v>
      </c>
      <c r="L148" s="60" t="s">
        <v>755</v>
      </c>
      <c r="M148" s="54"/>
    </row>
    <row r="149" s="2" customFormat="1" ht="148.5" customHeight="1" spans="1:13">
      <c r="A149" s="74" t="s">
        <v>756</v>
      </c>
      <c r="B149" s="75" t="s">
        <v>757</v>
      </c>
      <c r="C149" s="76" t="s">
        <v>39</v>
      </c>
      <c r="D149" s="76">
        <v>14.4</v>
      </c>
      <c r="E149" s="52">
        <v>305</v>
      </c>
      <c r="F149" s="35">
        <f t="shared" si="8"/>
        <v>4392</v>
      </c>
      <c r="G149" s="76">
        <v>434.55</v>
      </c>
      <c r="H149" s="82">
        <v>180</v>
      </c>
      <c r="I149" s="37">
        <f t="shared" si="9"/>
        <v>2592</v>
      </c>
      <c r="J149" s="49" t="s">
        <v>591</v>
      </c>
      <c r="K149" s="46" t="s">
        <v>758</v>
      </c>
      <c r="L149" s="46" t="s">
        <v>720</v>
      </c>
      <c r="M149" s="46"/>
    </row>
    <row r="150" ht="92.25" customHeight="1" spans="1:13">
      <c r="A150" s="67">
        <v>6</v>
      </c>
      <c r="B150" s="85" t="s">
        <v>759</v>
      </c>
      <c r="C150" s="86"/>
      <c r="D150" s="42" t="s">
        <v>145</v>
      </c>
      <c r="E150" s="43"/>
      <c r="F150" s="35" t="str">
        <f t="shared" ref="F150:F172" si="10">IFERROR(ROUND(D150*E150,0),"")</f>
        <v/>
      </c>
      <c r="G150" s="57" t="s">
        <v>145</v>
      </c>
      <c r="H150" s="45"/>
      <c r="I150" s="37"/>
      <c r="J150" s="43"/>
      <c r="K150" s="46"/>
      <c r="L150" s="46"/>
      <c r="M150" s="49" t="s">
        <v>760</v>
      </c>
    </row>
    <row r="151" ht="22.5" spans="1:13">
      <c r="A151" s="67" t="s">
        <v>433</v>
      </c>
      <c r="B151" s="56" t="s">
        <v>223</v>
      </c>
      <c r="C151" s="55" t="s">
        <v>145</v>
      </c>
      <c r="D151" s="42" t="s">
        <v>145</v>
      </c>
      <c r="E151" s="43"/>
      <c r="F151" s="35" t="str">
        <f t="shared" si="10"/>
        <v/>
      </c>
      <c r="G151" s="57" t="s">
        <v>145</v>
      </c>
      <c r="H151" s="45"/>
      <c r="I151" s="37"/>
      <c r="J151" s="43"/>
      <c r="K151" s="58"/>
      <c r="L151" s="58"/>
      <c r="M151" s="46"/>
    </row>
    <row r="152" ht="88.5" customHeight="1" spans="1:13">
      <c r="A152" s="67" t="s">
        <v>434</v>
      </c>
      <c r="B152" s="56" t="s">
        <v>435</v>
      </c>
      <c r="C152" s="55" t="s">
        <v>145</v>
      </c>
      <c r="D152" s="42" t="s">
        <v>145</v>
      </c>
      <c r="E152" s="43"/>
      <c r="F152" s="35" t="str">
        <f t="shared" si="10"/>
        <v/>
      </c>
      <c r="G152" s="55" t="s">
        <v>145</v>
      </c>
      <c r="H152" s="45"/>
      <c r="I152" s="37"/>
      <c r="J152" s="43"/>
      <c r="K152" s="58"/>
      <c r="L152" s="58"/>
      <c r="M152" s="46"/>
    </row>
    <row r="153" ht="123.75" customHeight="1" spans="1:13">
      <c r="A153" s="67" t="s">
        <v>98</v>
      </c>
      <c r="B153" s="56" t="s">
        <v>436</v>
      </c>
      <c r="C153" s="55" t="s">
        <v>437</v>
      </c>
      <c r="D153" s="87">
        <f>103961-3596</f>
        <v>100365</v>
      </c>
      <c r="E153" s="43">
        <v>0.65</v>
      </c>
      <c r="F153" s="35">
        <f t="shared" si="10"/>
        <v>65237</v>
      </c>
      <c r="G153" s="57">
        <v>5.8</v>
      </c>
      <c r="H153" s="36">
        <v>0.7</v>
      </c>
      <c r="I153" s="88">
        <f>ROUND(D153*H153,0)</f>
        <v>70256</v>
      </c>
      <c r="J153" s="46" t="s">
        <v>438</v>
      </c>
      <c r="K153" s="46" t="s">
        <v>418</v>
      </c>
      <c r="L153" s="60" t="s">
        <v>501</v>
      </c>
      <c r="M153" s="46"/>
    </row>
    <row r="154" ht="22.5" spans="1:13">
      <c r="A154" s="67" t="s">
        <v>440</v>
      </c>
      <c r="B154" s="56" t="s">
        <v>441</v>
      </c>
      <c r="C154" s="55" t="s">
        <v>145</v>
      </c>
      <c r="D154" s="42" t="s">
        <v>145</v>
      </c>
      <c r="E154" s="43"/>
      <c r="F154" s="35" t="str">
        <f t="shared" si="10"/>
        <v/>
      </c>
      <c r="G154" s="55" t="s">
        <v>145</v>
      </c>
      <c r="H154" s="45"/>
      <c r="I154" s="37"/>
      <c r="J154" s="43"/>
      <c r="K154" s="58"/>
      <c r="L154" s="58"/>
      <c r="M154" s="46"/>
    </row>
    <row r="155" ht="134.25" customHeight="1" spans="1:13">
      <c r="A155" s="89" t="s">
        <v>98</v>
      </c>
      <c r="B155" s="56" t="s">
        <v>761</v>
      </c>
      <c r="C155" s="55" t="s">
        <v>437</v>
      </c>
      <c r="D155" s="87">
        <f>107077+3596</f>
        <v>110673</v>
      </c>
      <c r="E155" s="43">
        <v>0.68</v>
      </c>
      <c r="F155" s="35">
        <f t="shared" si="10"/>
        <v>75258</v>
      </c>
      <c r="G155" s="55">
        <v>6.04</v>
      </c>
      <c r="H155" s="36">
        <v>0.74</v>
      </c>
      <c r="I155" s="88">
        <f>ROUND(D155*H155,0)</f>
        <v>81898</v>
      </c>
      <c r="J155" s="46" t="s">
        <v>438</v>
      </c>
      <c r="K155" s="46" t="s">
        <v>418</v>
      </c>
      <c r="L155" s="60" t="s">
        <v>500</v>
      </c>
      <c r="M155" s="46"/>
    </row>
    <row r="156" ht="87" customHeight="1" spans="1:13">
      <c r="A156" s="67" t="s">
        <v>56</v>
      </c>
      <c r="B156" s="56" t="s">
        <v>222</v>
      </c>
      <c r="C156" s="55" t="s">
        <v>437</v>
      </c>
      <c r="D156" s="42">
        <v>2030</v>
      </c>
      <c r="E156" s="43">
        <v>0.65</v>
      </c>
      <c r="F156" s="35">
        <f t="shared" si="10"/>
        <v>1320</v>
      </c>
      <c r="G156" s="57">
        <v>7.97</v>
      </c>
      <c r="H156" s="43">
        <v>0.73</v>
      </c>
      <c r="I156" s="37">
        <f>ROUND(D156*H156,0)</f>
        <v>1482</v>
      </c>
      <c r="J156" s="46" t="s">
        <v>533</v>
      </c>
      <c r="K156" s="46" t="s">
        <v>418</v>
      </c>
      <c r="L156" s="61" t="s">
        <v>534</v>
      </c>
      <c r="M156" s="54"/>
    </row>
    <row r="157" ht="22.5" spans="1:13">
      <c r="A157" s="67" t="s">
        <v>446</v>
      </c>
      <c r="B157" s="56" t="s">
        <v>447</v>
      </c>
      <c r="C157" s="55" t="s">
        <v>145</v>
      </c>
      <c r="D157" s="42" t="s">
        <v>145</v>
      </c>
      <c r="E157" s="43"/>
      <c r="F157" s="35" t="str">
        <f t="shared" si="10"/>
        <v/>
      </c>
      <c r="G157" s="55" t="s">
        <v>145</v>
      </c>
      <c r="H157" s="45"/>
      <c r="I157" s="37"/>
      <c r="J157" s="43"/>
      <c r="K157" s="58"/>
      <c r="L157" s="58"/>
      <c r="M157" s="46"/>
    </row>
    <row r="158" ht="144" customHeight="1" spans="1:13">
      <c r="A158" s="67" t="s">
        <v>98</v>
      </c>
      <c r="B158" s="56" t="s">
        <v>436</v>
      </c>
      <c r="C158" s="55" t="s">
        <v>437</v>
      </c>
      <c r="D158" s="42">
        <v>3468</v>
      </c>
      <c r="E158" s="43">
        <v>0.68</v>
      </c>
      <c r="F158" s="35">
        <f t="shared" si="10"/>
        <v>2358</v>
      </c>
      <c r="G158" s="55">
        <v>6.17</v>
      </c>
      <c r="H158" s="36">
        <v>0.73</v>
      </c>
      <c r="I158" s="88">
        <f>ROUND(D158*H158,0)</f>
        <v>2532</v>
      </c>
      <c r="J158" s="46" t="s">
        <v>438</v>
      </c>
      <c r="K158" s="46" t="s">
        <v>418</v>
      </c>
      <c r="L158" s="60" t="s">
        <v>500</v>
      </c>
      <c r="M158" s="46"/>
    </row>
    <row r="159" ht="22.5" spans="1:13">
      <c r="A159" s="67" t="s">
        <v>448</v>
      </c>
      <c r="B159" s="56" t="s">
        <v>449</v>
      </c>
      <c r="C159" s="55" t="s">
        <v>145</v>
      </c>
      <c r="D159" s="42" t="s">
        <v>145</v>
      </c>
      <c r="E159" s="43"/>
      <c r="F159" s="35" t="str">
        <f t="shared" si="10"/>
        <v/>
      </c>
      <c r="G159" s="55" t="s">
        <v>145</v>
      </c>
      <c r="H159" s="45"/>
      <c r="I159" s="37"/>
      <c r="J159" s="43"/>
      <c r="K159" s="58"/>
      <c r="L159" s="58"/>
      <c r="M159" s="46"/>
    </row>
    <row r="160" ht="104.25" customHeight="1" spans="1:13">
      <c r="A160" s="67" t="s">
        <v>450</v>
      </c>
      <c r="B160" s="56" t="s">
        <v>451</v>
      </c>
      <c r="C160" s="55" t="s">
        <v>39</v>
      </c>
      <c r="D160" s="42">
        <v>160</v>
      </c>
      <c r="E160" s="43">
        <v>12</v>
      </c>
      <c r="F160" s="35">
        <f t="shared" si="10"/>
        <v>1920</v>
      </c>
      <c r="G160" s="57">
        <v>19.96</v>
      </c>
      <c r="H160" s="36">
        <v>12</v>
      </c>
      <c r="I160" s="88">
        <f>ROUND(D160*H160,0)</f>
        <v>1920</v>
      </c>
      <c r="J160" s="46" t="s">
        <v>25</v>
      </c>
      <c r="K160" s="46" t="s">
        <v>418</v>
      </c>
      <c r="L160" s="60" t="s">
        <v>452</v>
      </c>
      <c r="M160" s="46"/>
    </row>
    <row r="161" ht="33.75" customHeight="1" spans="1:13">
      <c r="A161" s="67" t="s">
        <v>456</v>
      </c>
      <c r="B161" s="56" t="s">
        <v>457</v>
      </c>
      <c r="C161" s="55" t="s">
        <v>145</v>
      </c>
      <c r="D161" s="42" t="s">
        <v>145</v>
      </c>
      <c r="E161" s="43"/>
      <c r="F161" s="35" t="str">
        <f t="shared" si="10"/>
        <v/>
      </c>
      <c r="G161" s="57" t="s">
        <v>145</v>
      </c>
      <c r="H161" s="45"/>
      <c r="I161" s="37"/>
      <c r="J161" s="43"/>
      <c r="K161" s="58"/>
      <c r="L161" s="58"/>
      <c r="M161" s="46"/>
    </row>
    <row r="162" ht="33.75" customHeight="1" spans="1:13">
      <c r="A162" s="67" t="s">
        <v>458</v>
      </c>
      <c r="B162" s="56" t="s">
        <v>457</v>
      </c>
      <c r="C162" s="55" t="s">
        <v>145</v>
      </c>
      <c r="D162" s="42" t="s">
        <v>145</v>
      </c>
      <c r="E162" s="43"/>
      <c r="F162" s="35" t="str">
        <f t="shared" si="10"/>
        <v/>
      </c>
      <c r="G162" s="57" t="s">
        <v>145</v>
      </c>
      <c r="H162" s="45"/>
      <c r="I162" s="37"/>
      <c r="J162" s="43"/>
      <c r="K162" s="58"/>
      <c r="L162" s="58"/>
      <c r="M162" s="46"/>
    </row>
    <row r="163" ht="33.75" customHeight="1" spans="1:13">
      <c r="A163" s="67" t="s">
        <v>94</v>
      </c>
      <c r="B163" s="56" t="s">
        <v>459</v>
      </c>
      <c r="C163" s="55" t="s">
        <v>145</v>
      </c>
      <c r="D163" s="42" t="s">
        <v>145</v>
      </c>
      <c r="E163" s="43"/>
      <c r="F163" s="35" t="str">
        <f t="shared" si="10"/>
        <v/>
      </c>
      <c r="G163" s="55" t="s">
        <v>145</v>
      </c>
      <c r="H163" s="45"/>
      <c r="I163" s="37"/>
      <c r="J163" s="43"/>
      <c r="K163" s="58"/>
      <c r="L163" s="58"/>
      <c r="M163" s="46"/>
    </row>
    <row r="164" ht="173.25" customHeight="1" spans="1:13">
      <c r="A164" s="67" t="s">
        <v>37</v>
      </c>
      <c r="B164" s="62" t="s">
        <v>762</v>
      </c>
      <c r="C164" s="55" t="s">
        <v>85</v>
      </c>
      <c r="D164" s="42">
        <v>190</v>
      </c>
      <c r="E164" s="43">
        <v>1100</v>
      </c>
      <c r="F164" s="35">
        <f t="shared" si="10"/>
        <v>209000</v>
      </c>
      <c r="G164" s="57">
        <v>3250.82</v>
      </c>
      <c r="H164" s="43">
        <v>1100</v>
      </c>
      <c r="I164" s="37">
        <f>ROUND(D164*H164,0)</f>
        <v>209000</v>
      </c>
      <c r="J164" s="46" t="s">
        <v>461</v>
      </c>
      <c r="K164" s="46" t="s">
        <v>418</v>
      </c>
      <c r="L164" s="58" t="s">
        <v>502</v>
      </c>
      <c r="M164" s="49" t="s">
        <v>503</v>
      </c>
    </row>
    <row r="165" ht="54.75" customHeight="1" spans="1:13">
      <c r="A165" s="67" t="s">
        <v>98</v>
      </c>
      <c r="B165" s="56" t="s">
        <v>763</v>
      </c>
      <c r="C165" s="55" t="s">
        <v>145</v>
      </c>
      <c r="D165" s="42" t="s">
        <v>145</v>
      </c>
      <c r="E165" s="43"/>
      <c r="F165" s="35" t="str">
        <f t="shared" si="10"/>
        <v/>
      </c>
      <c r="G165" s="55" t="s">
        <v>145</v>
      </c>
      <c r="H165" s="45"/>
      <c r="I165" s="37"/>
      <c r="J165" s="43"/>
      <c r="K165" s="58"/>
      <c r="L165" s="58"/>
      <c r="M165" s="46"/>
    </row>
    <row r="166" ht="150" customHeight="1" spans="1:13">
      <c r="A166" s="67" t="s">
        <v>78</v>
      </c>
      <c r="B166" s="62" t="s">
        <v>764</v>
      </c>
      <c r="C166" s="55" t="s">
        <v>85</v>
      </c>
      <c r="D166" s="42">
        <v>154</v>
      </c>
      <c r="E166" s="43">
        <v>1500</v>
      </c>
      <c r="F166" s="35">
        <f t="shared" si="10"/>
        <v>231000</v>
      </c>
      <c r="G166" s="57">
        <v>4799.08</v>
      </c>
      <c r="H166" s="63">
        <v>1350</v>
      </c>
      <c r="I166" s="37">
        <f>ROUND(D166*H166,0)</f>
        <v>207900</v>
      </c>
      <c r="J166" s="46" t="s">
        <v>461</v>
      </c>
      <c r="K166" s="46" t="s">
        <v>418</v>
      </c>
      <c r="L166" s="58" t="s">
        <v>765</v>
      </c>
      <c r="M166" s="49" t="s">
        <v>503</v>
      </c>
    </row>
    <row r="167" ht="39" customHeight="1" spans="1:13">
      <c r="A167" s="67" t="s">
        <v>464</v>
      </c>
      <c r="B167" s="56" t="s">
        <v>465</v>
      </c>
      <c r="C167" s="55" t="s">
        <v>145</v>
      </c>
      <c r="D167" s="42" t="s">
        <v>145</v>
      </c>
      <c r="E167" s="43"/>
      <c r="F167" s="35" t="str">
        <f t="shared" si="10"/>
        <v/>
      </c>
      <c r="G167" s="57" t="s">
        <v>145</v>
      </c>
      <c r="H167" s="45"/>
      <c r="I167" s="37"/>
      <c r="J167" s="43"/>
      <c r="K167" s="58"/>
      <c r="L167" s="58"/>
      <c r="M167" s="46"/>
    </row>
    <row r="168" ht="123.75" customHeight="1" spans="1:13">
      <c r="A168" s="67" t="s">
        <v>466</v>
      </c>
      <c r="B168" s="56" t="s">
        <v>467</v>
      </c>
      <c r="C168" s="55" t="s">
        <v>145</v>
      </c>
      <c r="D168" s="42" t="s">
        <v>145</v>
      </c>
      <c r="E168" s="43"/>
      <c r="F168" s="35" t="str">
        <f t="shared" si="10"/>
        <v/>
      </c>
      <c r="G168" s="55" t="s">
        <v>145</v>
      </c>
      <c r="H168" s="45"/>
      <c r="I168" s="37"/>
      <c r="J168" s="43"/>
      <c r="K168" s="58"/>
      <c r="L168" s="58"/>
      <c r="M168" s="46"/>
    </row>
    <row r="169" ht="138" customHeight="1" spans="1:13">
      <c r="A169" s="67" t="s">
        <v>94</v>
      </c>
      <c r="B169" s="56" t="s">
        <v>715</v>
      </c>
      <c r="C169" s="55" t="s">
        <v>39</v>
      </c>
      <c r="D169" s="87">
        <f>73.4-35.1</f>
        <v>38.3</v>
      </c>
      <c r="E169" s="43">
        <v>100</v>
      </c>
      <c r="F169" s="35">
        <f t="shared" si="10"/>
        <v>3830</v>
      </c>
      <c r="G169" s="57">
        <v>760.23</v>
      </c>
      <c r="H169" s="36">
        <v>140</v>
      </c>
      <c r="I169" s="88">
        <f>ROUND(D169*H169,0)</f>
        <v>5362</v>
      </c>
      <c r="J169" s="46" t="s">
        <v>424</v>
      </c>
      <c r="K169" s="46" t="s">
        <v>418</v>
      </c>
      <c r="L169" s="64" t="s">
        <v>472</v>
      </c>
      <c r="M169" s="49" t="s">
        <v>504</v>
      </c>
    </row>
    <row r="170" ht="22.5" spans="1:13">
      <c r="A170" s="67" t="s">
        <v>473</v>
      </c>
      <c r="B170" s="56" t="s">
        <v>474</v>
      </c>
      <c r="C170" s="55" t="s">
        <v>145</v>
      </c>
      <c r="D170" s="42" t="s">
        <v>145</v>
      </c>
      <c r="E170" s="43"/>
      <c r="F170" s="35" t="str">
        <f t="shared" si="10"/>
        <v/>
      </c>
      <c r="G170" s="57" t="s">
        <v>145</v>
      </c>
      <c r="H170" s="45"/>
      <c r="I170" s="37"/>
      <c r="J170" s="43"/>
      <c r="K170" s="58"/>
      <c r="L170" s="58"/>
      <c r="M170" s="46"/>
    </row>
    <row r="171" ht="22.5" spans="1:13">
      <c r="A171" s="67" t="s">
        <v>98</v>
      </c>
      <c r="B171" s="56" t="s">
        <v>539</v>
      </c>
      <c r="C171" s="55" t="s">
        <v>145</v>
      </c>
      <c r="D171" s="42" t="s">
        <v>145</v>
      </c>
      <c r="E171" s="43"/>
      <c r="F171" s="35" t="str">
        <f t="shared" si="10"/>
        <v/>
      </c>
      <c r="G171" s="55" t="s">
        <v>145</v>
      </c>
      <c r="H171" s="45"/>
      <c r="I171" s="37"/>
      <c r="J171" s="43"/>
      <c r="K171" s="58"/>
      <c r="L171" s="58"/>
      <c r="M171" s="46"/>
    </row>
    <row r="172" ht="109.5" customHeight="1" spans="1:13">
      <c r="A172" s="89" t="s">
        <v>78</v>
      </c>
      <c r="B172" s="62" t="s">
        <v>716</v>
      </c>
      <c r="C172" s="55" t="s">
        <v>39</v>
      </c>
      <c r="D172" s="87">
        <f>484.88+35.1</f>
        <v>519.98</v>
      </c>
      <c r="E172" s="43">
        <v>260</v>
      </c>
      <c r="F172" s="35">
        <f t="shared" si="10"/>
        <v>135195</v>
      </c>
      <c r="G172" s="57">
        <v>1006.12</v>
      </c>
      <c r="H172" s="45">
        <v>320</v>
      </c>
      <c r="I172" s="37">
        <f>ROUND(D172*H172,0)</f>
        <v>166394</v>
      </c>
      <c r="J172" s="46" t="s">
        <v>424</v>
      </c>
      <c r="K172" s="46" t="s">
        <v>418</v>
      </c>
      <c r="L172" s="64" t="s">
        <v>481</v>
      </c>
      <c r="M172" s="49" t="s">
        <v>504</v>
      </c>
    </row>
    <row r="173" ht="22.5" spans="1:13">
      <c r="A173" s="67" t="s">
        <v>50</v>
      </c>
      <c r="B173" s="56" t="s">
        <v>541</v>
      </c>
      <c r="C173" s="55" t="s">
        <v>145</v>
      </c>
      <c r="D173" s="42" t="s">
        <v>145</v>
      </c>
      <c r="E173" s="43"/>
      <c r="F173" s="35" t="str">
        <f t="shared" ref="F173:F188" si="11">IFERROR(ROUND(D173*E173,0),"")</f>
        <v/>
      </c>
      <c r="G173" s="55" t="s">
        <v>145</v>
      </c>
      <c r="H173" s="45"/>
      <c r="I173" s="37"/>
      <c r="J173" s="43"/>
      <c r="K173" s="58"/>
      <c r="L173" s="58"/>
      <c r="M173" s="46"/>
    </row>
    <row r="174" ht="113.25" customHeight="1" spans="1:13">
      <c r="A174" s="67" t="s">
        <v>52</v>
      </c>
      <c r="B174" s="62" t="s">
        <v>542</v>
      </c>
      <c r="C174" s="55" t="s">
        <v>39</v>
      </c>
      <c r="D174" s="87">
        <v>254.02</v>
      </c>
      <c r="E174" s="43">
        <v>260</v>
      </c>
      <c r="F174" s="35">
        <f t="shared" si="11"/>
        <v>66045</v>
      </c>
      <c r="G174" s="57">
        <v>1059.92</v>
      </c>
      <c r="H174" s="88">
        <v>350</v>
      </c>
      <c r="I174" s="37">
        <f>ROUND(D174*H174,0)</f>
        <v>88907</v>
      </c>
      <c r="J174" s="46" t="s">
        <v>424</v>
      </c>
      <c r="K174" s="46" t="s">
        <v>418</v>
      </c>
      <c r="L174" s="64" t="s">
        <v>481</v>
      </c>
      <c r="M174" s="49" t="s">
        <v>504</v>
      </c>
    </row>
    <row r="175" ht="22.5" spans="1:13">
      <c r="A175" s="67" t="s">
        <v>56</v>
      </c>
      <c r="B175" s="56" t="s">
        <v>766</v>
      </c>
      <c r="C175" s="55" t="s">
        <v>145</v>
      </c>
      <c r="D175" s="42" t="s">
        <v>145</v>
      </c>
      <c r="E175" s="43"/>
      <c r="F175" s="35" t="str">
        <f t="shared" si="11"/>
        <v/>
      </c>
      <c r="G175" s="55" t="s">
        <v>145</v>
      </c>
      <c r="H175" s="45"/>
      <c r="I175" s="37"/>
      <c r="J175" s="43"/>
      <c r="K175" s="58"/>
      <c r="L175" s="58"/>
      <c r="M175" s="46"/>
    </row>
    <row r="176" ht="105" customHeight="1" spans="1:13">
      <c r="A176" s="67" t="s">
        <v>58</v>
      </c>
      <c r="B176" s="56" t="s">
        <v>767</v>
      </c>
      <c r="C176" s="55" t="s">
        <v>39</v>
      </c>
      <c r="D176" s="42">
        <v>41.8</v>
      </c>
      <c r="E176" s="43">
        <v>240</v>
      </c>
      <c r="F176" s="35">
        <f t="shared" si="11"/>
        <v>10032</v>
      </c>
      <c r="G176" s="57">
        <v>1108.95</v>
      </c>
      <c r="H176" s="45">
        <v>200</v>
      </c>
      <c r="I176" s="37">
        <f>ROUND(D176*H176,0)</f>
        <v>8360</v>
      </c>
      <c r="J176" s="46" t="s">
        <v>424</v>
      </c>
      <c r="K176" s="46" t="s">
        <v>418</v>
      </c>
      <c r="L176" s="64" t="s">
        <v>481</v>
      </c>
      <c r="M176" s="49" t="s">
        <v>504</v>
      </c>
    </row>
    <row r="177" ht="45" spans="1:13">
      <c r="A177" s="67" t="s">
        <v>482</v>
      </c>
      <c r="B177" s="56" t="s">
        <v>483</v>
      </c>
      <c r="C177" s="55" t="s">
        <v>145</v>
      </c>
      <c r="D177" s="42" t="s">
        <v>145</v>
      </c>
      <c r="E177" s="43"/>
      <c r="F177" s="35" t="str">
        <f t="shared" si="11"/>
        <v/>
      </c>
      <c r="G177" s="57" t="s">
        <v>145</v>
      </c>
      <c r="H177" s="45"/>
      <c r="I177" s="37"/>
      <c r="J177" s="43"/>
      <c r="K177" s="58"/>
      <c r="L177" s="58"/>
      <c r="M177" s="46"/>
    </row>
    <row r="178" ht="22.5" spans="1:13">
      <c r="A178" s="67" t="s">
        <v>94</v>
      </c>
      <c r="B178" s="56" t="s">
        <v>484</v>
      </c>
      <c r="C178" s="55" t="s">
        <v>145</v>
      </c>
      <c r="D178" s="42" t="s">
        <v>145</v>
      </c>
      <c r="E178" s="43"/>
      <c r="F178" s="35" t="str">
        <f t="shared" si="11"/>
        <v/>
      </c>
      <c r="G178" s="55" t="s">
        <v>145</v>
      </c>
      <c r="H178" s="45"/>
      <c r="I178" s="37"/>
      <c r="J178" s="43"/>
      <c r="K178" s="58"/>
      <c r="L178" s="58"/>
      <c r="M178" s="46"/>
    </row>
    <row r="179" ht="108.75" customHeight="1" spans="1:13">
      <c r="A179" s="67" t="s">
        <v>37</v>
      </c>
      <c r="B179" s="56" t="s">
        <v>485</v>
      </c>
      <c r="C179" s="55" t="s">
        <v>39</v>
      </c>
      <c r="D179" s="42">
        <v>5.8</v>
      </c>
      <c r="E179" s="43">
        <v>350</v>
      </c>
      <c r="F179" s="35">
        <f t="shared" si="11"/>
        <v>2030</v>
      </c>
      <c r="G179" s="57">
        <v>1272.56</v>
      </c>
      <c r="H179" s="88">
        <v>400</v>
      </c>
      <c r="I179" s="37">
        <f>ROUND(D179*H179,0)</f>
        <v>2320</v>
      </c>
      <c r="J179" s="46" t="s">
        <v>424</v>
      </c>
      <c r="K179" s="46" t="s">
        <v>418</v>
      </c>
      <c r="L179" s="64" t="s">
        <v>607</v>
      </c>
      <c r="M179" s="49" t="s">
        <v>504</v>
      </c>
    </row>
    <row r="180" ht="22.5" spans="1:13">
      <c r="A180" s="67" t="s">
        <v>56</v>
      </c>
      <c r="B180" s="56" t="s">
        <v>487</v>
      </c>
      <c r="C180" s="55" t="s">
        <v>145</v>
      </c>
      <c r="D180" s="42" t="s">
        <v>145</v>
      </c>
      <c r="E180" s="43"/>
      <c r="F180" s="35" t="str">
        <f t="shared" si="11"/>
        <v/>
      </c>
      <c r="G180" s="55" t="s">
        <v>145</v>
      </c>
      <c r="H180" s="45"/>
      <c r="I180" s="37"/>
      <c r="J180" s="43"/>
      <c r="K180" s="58"/>
      <c r="L180" s="58"/>
      <c r="M180" s="46"/>
    </row>
    <row r="181" ht="93.75" customHeight="1" spans="1:13">
      <c r="A181" s="67" t="s">
        <v>58</v>
      </c>
      <c r="B181" s="56" t="s">
        <v>488</v>
      </c>
      <c r="C181" s="55" t="s">
        <v>39</v>
      </c>
      <c r="D181" s="42">
        <v>1.5</v>
      </c>
      <c r="E181" s="43">
        <v>100</v>
      </c>
      <c r="F181" s="35">
        <f t="shared" si="11"/>
        <v>150</v>
      </c>
      <c r="G181" s="57">
        <v>726.42</v>
      </c>
      <c r="H181" s="36">
        <v>200</v>
      </c>
      <c r="I181" s="37">
        <f>ROUND(D181*H181,0)</f>
        <v>300</v>
      </c>
      <c r="J181" s="46" t="s">
        <v>424</v>
      </c>
      <c r="K181" s="46" t="s">
        <v>418</v>
      </c>
      <c r="L181" s="64" t="s">
        <v>607</v>
      </c>
      <c r="M181" s="49" t="s">
        <v>504</v>
      </c>
    </row>
    <row r="182" ht="45" spans="1:13">
      <c r="A182" s="67" t="s">
        <v>493</v>
      </c>
      <c r="B182" s="56" t="s">
        <v>718</v>
      </c>
      <c r="C182" s="55" t="s">
        <v>145</v>
      </c>
      <c r="D182" s="42" t="s">
        <v>145</v>
      </c>
      <c r="E182" s="43"/>
      <c r="F182" s="35" t="str">
        <f t="shared" si="11"/>
        <v/>
      </c>
      <c r="G182" s="57" t="s">
        <v>145</v>
      </c>
      <c r="H182" s="45"/>
      <c r="I182" s="37"/>
      <c r="J182" s="43"/>
      <c r="K182" s="58"/>
      <c r="L182" s="58"/>
      <c r="M182" s="46"/>
    </row>
    <row r="183" ht="22.5" spans="1:13">
      <c r="A183" s="67" t="s">
        <v>94</v>
      </c>
      <c r="B183" s="56" t="s">
        <v>487</v>
      </c>
      <c r="C183" s="55" t="s">
        <v>145</v>
      </c>
      <c r="D183" s="42" t="s">
        <v>145</v>
      </c>
      <c r="E183" s="43"/>
      <c r="F183" s="35" t="str">
        <f t="shared" si="11"/>
        <v/>
      </c>
      <c r="G183" s="55" t="s">
        <v>145</v>
      </c>
      <c r="H183" s="45"/>
      <c r="I183" s="37"/>
      <c r="J183" s="43"/>
      <c r="K183" s="58"/>
      <c r="L183" s="58"/>
      <c r="M183" s="46"/>
    </row>
    <row r="184" ht="76.5" customHeight="1" spans="1:13">
      <c r="A184" s="67" t="s">
        <v>37</v>
      </c>
      <c r="B184" s="56" t="s">
        <v>495</v>
      </c>
      <c r="C184" s="55" t="s">
        <v>39</v>
      </c>
      <c r="D184" s="42">
        <v>6</v>
      </c>
      <c r="E184" s="43">
        <v>200</v>
      </c>
      <c r="F184" s="35">
        <f t="shared" si="11"/>
        <v>1200</v>
      </c>
      <c r="G184" s="57">
        <v>947.11</v>
      </c>
      <c r="H184" s="48">
        <v>180</v>
      </c>
      <c r="I184" s="37">
        <f>ROUND(D184*H184,0)</f>
        <v>1080</v>
      </c>
      <c r="J184" s="46" t="s">
        <v>496</v>
      </c>
      <c r="K184" s="46" t="s">
        <v>418</v>
      </c>
      <c r="L184" s="59" t="s">
        <v>497</v>
      </c>
      <c r="M184" s="46"/>
    </row>
    <row r="185" ht="22.5" spans="1:13">
      <c r="A185" s="67" t="s">
        <v>509</v>
      </c>
      <c r="B185" s="56" t="s">
        <v>510</v>
      </c>
      <c r="C185" s="55" t="s">
        <v>145</v>
      </c>
      <c r="D185" s="42" t="s">
        <v>145</v>
      </c>
      <c r="E185" s="43"/>
      <c r="F185" s="35" t="str">
        <f t="shared" si="11"/>
        <v/>
      </c>
      <c r="G185" s="57" t="s">
        <v>145</v>
      </c>
      <c r="H185" s="45"/>
      <c r="I185" s="37"/>
      <c r="J185" s="43"/>
      <c r="K185" s="58"/>
      <c r="L185" s="58"/>
      <c r="M185" s="46"/>
    </row>
    <row r="186" ht="22.5" spans="1:13">
      <c r="A186" s="67" t="s">
        <v>511</v>
      </c>
      <c r="B186" s="56" t="s">
        <v>512</v>
      </c>
      <c r="C186" s="55" t="s">
        <v>145</v>
      </c>
      <c r="D186" s="42" t="s">
        <v>145</v>
      </c>
      <c r="E186" s="43"/>
      <c r="F186" s="35" t="str">
        <f t="shared" si="11"/>
        <v/>
      </c>
      <c r="G186" s="57" t="s">
        <v>145</v>
      </c>
      <c r="H186" s="45"/>
      <c r="I186" s="37"/>
      <c r="J186" s="43"/>
      <c r="K186" s="58"/>
      <c r="L186" s="58"/>
      <c r="M186" s="46"/>
    </row>
    <row r="187" ht="22.5" spans="1:13">
      <c r="A187" s="67" t="s">
        <v>94</v>
      </c>
      <c r="B187" s="56" t="s">
        <v>487</v>
      </c>
      <c r="C187" s="55" t="s">
        <v>145</v>
      </c>
      <c r="D187" s="42" t="s">
        <v>145</v>
      </c>
      <c r="E187" s="43"/>
      <c r="F187" s="35" t="str">
        <f t="shared" si="11"/>
        <v/>
      </c>
      <c r="G187" s="55" t="s">
        <v>145</v>
      </c>
      <c r="H187" s="45"/>
      <c r="I187" s="37"/>
      <c r="J187" s="43"/>
      <c r="K187" s="58"/>
      <c r="L187" s="58"/>
      <c r="M187" s="46"/>
    </row>
    <row r="188" ht="123.75" customHeight="1" spans="1:13">
      <c r="A188" s="67" t="s">
        <v>37</v>
      </c>
      <c r="B188" s="56" t="s">
        <v>513</v>
      </c>
      <c r="C188" s="55" t="s">
        <v>39</v>
      </c>
      <c r="D188" s="42">
        <v>6.4</v>
      </c>
      <c r="E188" s="43">
        <v>305</v>
      </c>
      <c r="F188" s="35">
        <f t="shared" si="11"/>
        <v>1952</v>
      </c>
      <c r="G188" s="57">
        <v>445.27</v>
      </c>
      <c r="H188" s="45">
        <v>350</v>
      </c>
      <c r="I188" s="37">
        <f>ROUND(D188*H188,0)</f>
        <v>2240</v>
      </c>
      <c r="J188" s="46" t="s">
        <v>25</v>
      </c>
      <c r="K188" s="46" t="s">
        <v>418</v>
      </c>
      <c r="L188" s="46" t="s">
        <v>514</v>
      </c>
      <c r="M188" s="49" t="s">
        <v>515</v>
      </c>
    </row>
    <row r="189" ht="24.75" customHeight="1" spans="1:13">
      <c r="A189" s="90" t="s">
        <v>768</v>
      </c>
      <c r="B189" s="91"/>
      <c r="C189" s="76"/>
      <c r="D189" s="76"/>
      <c r="E189" s="43"/>
      <c r="F189" s="88"/>
      <c r="G189" s="76"/>
      <c r="H189" s="45"/>
      <c r="I189" s="45"/>
      <c r="J189" s="46"/>
      <c r="K189" s="60"/>
      <c r="L189" s="60"/>
      <c r="M189" s="46"/>
    </row>
    <row r="190" ht="28.5" customHeight="1" spans="1:13">
      <c r="A190" s="41" t="s">
        <v>769</v>
      </c>
      <c r="B190" s="42" t="s">
        <v>650</v>
      </c>
      <c r="C190" s="41"/>
      <c r="D190" s="42"/>
      <c r="E190" s="92"/>
      <c r="F190" s="35"/>
      <c r="G190" s="44"/>
      <c r="H190" s="36"/>
      <c r="I190" s="88"/>
      <c r="J190" s="46"/>
      <c r="K190" s="46"/>
      <c r="L190" s="46"/>
      <c r="M190" s="46"/>
    </row>
    <row r="191" ht="46.5" customHeight="1" spans="1:13">
      <c r="A191" s="72" t="s">
        <v>649</v>
      </c>
      <c r="B191" s="42" t="s">
        <v>650</v>
      </c>
      <c r="C191" s="41"/>
      <c r="D191" s="93"/>
      <c r="E191" s="43"/>
      <c r="F191" s="88"/>
      <c r="G191" s="94"/>
      <c r="H191" s="36"/>
      <c r="I191" s="88">
        <f>ROUND(D191*H191,0)</f>
        <v>0</v>
      </c>
      <c r="J191" s="46"/>
      <c r="K191" s="46"/>
      <c r="L191" s="46"/>
      <c r="M191" s="46"/>
    </row>
    <row r="192" ht="103.5" customHeight="1" spans="1:13">
      <c r="A192" s="95" t="s">
        <v>37</v>
      </c>
      <c r="B192" s="87" t="s">
        <v>651</v>
      </c>
      <c r="C192" s="96" t="s">
        <v>85</v>
      </c>
      <c r="D192" s="97">
        <v>58</v>
      </c>
      <c r="E192" s="98"/>
      <c r="F192" s="99"/>
      <c r="G192" s="100">
        <v>10655</v>
      </c>
      <c r="H192" s="48">
        <f>1086+177.88</f>
        <v>1263.88</v>
      </c>
      <c r="I192" s="99">
        <f>ROUND(D192*H192,0)</f>
        <v>73305</v>
      </c>
      <c r="J192" s="49" t="s">
        <v>634</v>
      </c>
      <c r="K192" s="49" t="s">
        <v>635</v>
      </c>
      <c r="L192" s="49" t="s">
        <v>636</v>
      </c>
      <c r="M192" s="46"/>
    </row>
    <row r="193" ht="71.25" hidden="1" customHeight="1" spans="1:13">
      <c r="A193" s="95"/>
      <c r="B193" s="42" t="s">
        <v>652</v>
      </c>
      <c r="C193" s="41" t="s">
        <v>39</v>
      </c>
      <c r="D193" s="97">
        <v>31.6</v>
      </c>
      <c r="E193" s="98"/>
      <c r="F193" s="99"/>
      <c r="G193" s="101"/>
      <c r="H193" s="36">
        <v>100</v>
      </c>
      <c r="I193" s="99"/>
      <c r="J193" s="46" t="s">
        <v>424</v>
      </c>
      <c r="K193" s="46" t="s">
        <v>418</v>
      </c>
      <c r="L193" s="46" t="s">
        <v>627</v>
      </c>
      <c r="M193" s="46"/>
    </row>
    <row r="194" ht="71.25" hidden="1" customHeight="1" spans="1:13">
      <c r="A194" s="95"/>
      <c r="B194" s="42" t="s">
        <v>653</v>
      </c>
      <c r="C194" s="41" t="s">
        <v>39</v>
      </c>
      <c r="D194" s="97">
        <v>87.38</v>
      </c>
      <c r="E194" s="98"/>
      <c r="F194" s="99"/>
      <c r="G194" s="101"/>
      <c r="H194" s="36">
        <v>140</v>
      </c>
      <c r="I194" s="99"/>
      <c r="J194" s="46" t="s">
        <v>424</v>
      </c>
      <c r="K194" s="46" t="s">
        <v>418</v>
      </c>
      <c r="L194" s="46" t="s">
        <v>638</v>
      </c>
      <c r="M194" s="46"/>
    </row>
    <row r="195" ht="71.25" hidden="1" customHeight="1" spans="1:13">
      <c r="A195" s="95"/>
      <c r="B195" s="42" t="s">
        <v>654</v>
      </c>
      <c r="C195" s="41" t="s">
        <v>39</v>
      </c>
      <c r="D195" s="97">
        <v>141.6</v>
      </c>
      <c r="E195" s="98"/>
      <c r="F195" s="99"/>
      <c r="G195" s="101"/>
      <c r="H195" s="36">
        <v>180</v>
      </c>
      <c r="I195" s="99"/>
      <c r="J195" s="46" t="s">
        <v>424</v>
      </c>
      <c r="K195" s="46" t="s">
        <v>418</v>
      </c>
      <c r="L195" s="46" t="s">
        <v>640</v>
      </c>
      <c r="M195" s="46"/>
    </row>
    <row r="196" ht="71.25" hidden="1" customHeight="1" spans="1:13">
      <c r="A196" s="95"/>
      <c r="B196" s="42" t="s">
        <v>655</v>
      </c>
      <c r="C196" s="41" t="s">
        <v>39</v>
      </c>
      <c r="D196" s="97">
        <v>1.2</v>
      </c>
      <c r="E196" s="98"/>
      <c r="F196" s="99"/>
      <c r="G196" s="101"/>
      <c r="H196" s="36">
        <v>200</v>
      </c>
      <c r="I196" s="99"/>
      <c r="J196" s="46" t="s">
        <v>424</v>
      </c>
      <c r="K196" s="46" t="s">
        <v>418</v>
      </c>
      <c r="L196" s="46" t="s">
        <v>640</v>
      </c>
      <c r="M196" s="46"/>
    </row>
    <row r="197" ht="71.25" hidden="1" customHeight="1" spans="1:13">
      <c r="A197" s="95"/>
      <c r="B197" s="42" t="s">
        <v>656</v>
      </c>
      <c r="C197" s="41" t="s">
        <v>39</v>
      </c>
      <c r="D197" s="97">
        <v>26.3</v>
      </c>
      <c r="E197" s="98"/>
      <c r="F197" s="99"/>
      <c r="G197" s="101"/>
      <c r="H197" s="36">
        <v>350</v>
      </c>
      <c r="I197" s="99"/>
      <c r="J197" s="46" t="s">
        <v>424</v>
      </c>
      <c r="K197" s="46" t="s">
        <v>418</v>
      </c>
      <c r="L197" s="46" t="s">
        <v>640</v>
      </c>
      <c r="M197" s="46"/>
    </row>
    <row r="198" ht="71.25" hidden="1" customHeight="1" spans="1:13">
      <c r="A198" s="95"/>
      <c r="B198" s="42" t="s">
        <v>657</v>
      </c>
      <c r="C198" s="41" t="s">
        <v>437</v>
      </c>
      <c r="D198" s="97">
        <v>5259.43</v>
      </c>
      <c r="E198" s="98"/>
      <c r="F198" s="99"/>
      <c r="G198" s="101"/>
      <c r="H198" s="36">
        <v>0.7</v>
      </c>
      <c r="I198" s="99"/>
      <c r="J198" s="46" t="s">
        <v>518</v>
      </c>
      <c r="K198" s="46" t="s">
        <v>418</v>
      </c>
      <c r="L198" s="46" t="s">
        <v>643</v>
      </c>
      <c r="M198" s="46"/>
    </row>
    <row r="199" ht="71.25" hidden="1" customHeight="1" spans="1:13">
      <c r="A199" s="95"/>
      <c r="B199" s="42" t="s">
        <v>658</v>
      </c>
      <c r="C199" s="41" t="s">
        <v>39</v>
      </c>
      <c r="D199" s="97">
        <v>8</v>
      </c>
      <c r="E199" s="98"/>
      <c r="F199" s="99"/>
      <c r="G199" s="101"/>
      <c r="H199" s="36">
        <v>350</v>
      </c>
      <c r="I199" s="99"/>
      <c r="J199" s="46" t="s">
        <v>424</v>
      </c>
      <c r="K199" s="46" t="s">
        <v>418</v>
      </c>
      <c r="L199" s="46" t="s">
        <v>640</v>
      </c>
      <c r="M199" s="46"/>
    </row>
    <row r="200" ht="71.25" hidden="1" customHeight="1" spans="1:13">
      <c r="A200" s="95"/>
      <c r="B200" s="42" t="s">
        <v>659</v>
      </c>
      <c r="C200" s="41" t="s">
        <v>39</v>
      </c>
      <c r="D200" s="97">
        <v>30.9</v>
      </c>
      <c r="E200" s="98"/>
      <c r="F200" s="99"/>
      <c r="G200" s="101"/>
      <c r="H200" s="36">
        <v>200</v>
      </c>
      <c r="I200" s="99"/>
      <c r="J200" s="46" t="s">
        <v>424</v>
      </c>
      <c r="K200" s="46" t="s">
        <v>418</v>
      </c>
      <c r="L200" s="46" t="s">
        <v>627</v>
      </c>
      <c r="M200" s="46"/>
    </row>
    <row r="201" ht="71.25" hidden="1" customHeight="1" spans="1:13">
      <c r="A201" s="95"/>
      <c r="B201" s="87" t="s">
        <v>660</v>
      </c>
      <c r="C201" s="96" t="s">
        <v>39</v>
      </c>
      <c r="D201" s="97">
        <v>687.8</v>
      </c>
      <c r="E201" s="98"/>
      <c r="F201" s="99"/>
      <c r="G201" s="101"/>
      <c r="H201" s="48">
        <v>15</v>
      </c>
      <c r="I201" s="99"/>
      <c r="J201" s="49" t="s">
        <v>25</v>
      </c>
      <c r="K201" s="49" t="s">
        <v>418</v>
      </c>
      <c r="L201" s="49" t="s">
        <v>636</v>
      </c>
      <c r="M201" s="46"/>
    </row>
    <row r="202" ht="93.75" customHeight="1" spans="1:13">
      <c r="A202" s="102" t="s">
        <v>37</v>
      </c>
      <c r="B202" s="87" t="s">
        <v>691</v>
      </c>
      <c r="C202" s="96" t="s">
        <v>39</v>
      </c>
      <c r="D202" s="97">
        <v>1</v>
      </c>
      <c r="E202" s="98"/>
      <c r="F202" s="99"/>
      <c r="G202" s="101"/>
      <c r="H202" s="48">
        <v>20</v>
      </c>
      <c r="I202" s="99">
        <f>ROUND(D202*H202,0)</f>
        <v>20</v>
      </c>
      <c r="J202" s="49" t="s">
        <v>25</v>
      </c>
      <c r="K202" s="49" t="s">
        <v>418</v>
      </c>
      <c r="L202" s="49" t="s">
        <v>636</v>
      </c>
      <c r="M202" s="46"/>
    </row>
    <row r="203" ht="101.25" customHeight="1" spans="1:13">
      <c r="A203" s="102" t="s">
        <v>43</v>
      </c>
      <c r="B203" s="87" t="s">
        <v>662</v>
      </c>
      <c r="C203" s="96" t="s">
        <v>39</v>
      </c>
      <c r="D203" s="97">
        <v>1106</v>
      </c>
      <c r="E203" s="98"/>
      <c r="F203" s="99"/>
      <c r="G203" s="101"/>
      <c r="H203" s="48">
        <v>12</v>
      </c>
      <c r="I203" s="99">
        <f>ROUND(D203*H203,0)</f>
        <v>13272</v>
      </c>
      <c r="J203" s="49" t="s">
        <v>25</v>
      </c>
      <c r="K203" s="49" t="s">
        <v>418</v>
      </c>
      <c r="L203" s="49" t="s">
        <v>636</v>
      </c>
      <c r="M203" s="46"/>
    </row>
    <row r="204" ht="101.25" customHeight="1" spans="1:13">
      <c r="A204" s="102" t="s">
        <v>46</v>
      </c>
      <c r="B204" s="87" t="s">
        <v>663</v>
      </c>
      <c r="C204" s="96" t="s">
        <v>39</v>
      </c>
      <c r="D204" s="97">
        <v>474</v>
      </c>
      <c r="E204" s="98"/>
      <c r="F204" s="99"/>
      <c r="G204" s="101"/>
      <c r="H204" s="48">
        <v>35</v>
      </c>
      <c r="I204" s="99">
        <f>ROUND(D204*H204,0)</f>
        <v>16590</v>
      </c>
      <c r="J204" s="49" t="s">
        <v>25</v>
      </c>
      <c r="K204" s="49" t="s">
        <v>418</v>
      </c>
      <c r="L204" s="49" t="s">
        <v>636</v>
      </c>
      <c r="M204" s="46"/>
    </row>
    <row r="205" ht="129.75" customHeight="1" spans="1:13">
      <c r="A205" s="95" t="s">
        <v>78</v>
      </c>
      <c r="B205" s="87" t="s">
        <v>664</v>
      </c>
      <c r="C205" s="96" t="s">
        <v>85</v>
      </c>
      <c r="D205" s="97">
        <v>165.5</v>
      </c>
      <c r="E205" s="98"/>
      <c r="F205" s="99"/>
      <c r="G205" s="100">
        <v>11000</v>
      </c>
      <c r="H205" s="48">
        <f>1489.27+239.77</f>
        <v>1729.04</v>
      </c>
      <c r="I205" s="99">
        <f>ROUND(D205*H205,0)</f>
        <v>286156</v>
      </c>
      <c r="J205" s="49" t="s">
        <v>634</v>
      </c>
      <c r="K205" s="49" t="s">
        <v>635</v>
      </c>
      <c r="L205" s="49" t="s">
        <v>636</v>
      </c>
      <c r="M205" s="46"/>
    </row>
    <row r="206" ht="101.25" hidden="1" customHeight="1" spans="1:13">
      <c r="A206" s="95"/>
      <c r="B206" s="42" t="s">
        <v>652</v>
      </c>
      <c r="C206" s="41" t="s">
        <v>39</v>
      </c>
      <c r="D206" s="97">
        <v>107.88</v>
      </c>
      <c r="E206" s="98"/>
      <c r="F206" s="99"/>
      <c r="G206" s="101"/>
      <c r="H206" s="36">
        <v>100</v>
      </c>
      <c r="I206" s="99"/>
      <c r="J206" s="46" t="s">
        <v>424</v>
      </c>
      <c r="K206" s="46" t="s">
        <v>418</v>
      </c>
      <c r="L206" s="46" t="s">
        <v>627</v>
      </c>
      <c r="M206" s="46"/>
    </row>
    <row r="207" ht="101.25" hidden="1" customHeight="1" spans="1:13">
      <c r="A207" s="95"/>
      <c r="B207" s="42" t="s">
        <v>653</v>
      </c>
      <c r="C207" s="41" t="s">
        <v>39</v>
      </c>
      <c r="D207" s="97">
        <v>260.25</v>
      </c>
      <c r="E207" s="98"/>
      <c r="F207" s="99"/>
      <c r="G207" s="101"/>
      <c r="H207" s="36">
        <v>140</v>
      </c>
      <c r="I207" s="99"/>
      <c r="J207" s="46" t="s">
        <v>424</v>
      </c>
      <c r="K207" s="46" t="s">
        <v>418</v>
      </c>
      <c r="L207" s="46" t="s">
        <v>638</v>
      </c>
      <c r="M207" s="46"/>
    </row>
    <row r="208" ht="101.25" hidden="1" customHeight="1" spans="1:13">
      <c r="A208" s="95"/>
      <c r="B208" s="42" t="s">
        <v>654</v>
      </c>
      <c r="C208" s="41" t="s">
        <v>39</v>
      </c>
      <c r="D208" s="97">
        <v>597.64</v>
      </c>
      <c r="E208" s="98"/>
      <c r="F208" s="99"/>
      <c r="G208" s="101"/>
      <c r="H208" s="36">
        <v>180</v>
      </c>
      <c r="I208" s="99"/>
      <c r="J208" s="46" t="s">
        <v>424</v>
      </c>
      <c r="K208" s="46" t="s">
        <v>418</v>
      </c>
      <c r="L208" s="46" t="s">
        <v>640</v>
      </c>
      <c r="M208" s="46"/>
    </row>
    <row r="209" ht="101.25" hidden="1" customHeight="1" spans="1:13">
      <c r="A209" s="95"/>
      <c r="B209" s="42" t="s">
        <v>655</v>
      </c>
      <c r="C209" s="41" t="s">
        <v>39</v>
      </c>
      <c r="D209" s="97">
        <v>3.55</v>
      </c>
      <c r="E209" s="98"/>
      <c r="F209" s="99"/>
      <c r="G209" s="101"/>
      <c r="H209" s="36">
        <v>200</v>
      </c>
      <c r="I209" s="99"/>
      <c r="J209" s="46" t="s">
        <v>424</v>
      </c>
      <c r="K209" s="46" t="s">
        <v>418</v>
      </c>
      <c r="L209" s="46" t="s">
        <v>640</v>
      </c>
      <c r="M209" s="46"/>
    </row>
    <row r="210" ht="101.25" hidden="1" customHeight="1" spans="1:13">
      <c r="A210" s="95"/>
      <c r="B210" s="42" t="s">
        <v>656</v>
      </c>
      <c r="C210" s="41" t="s">
        <v>39</v>
      </c>
      <c r="D210" s="97">
        <v>94.37</v>
      </c>
      <c r="E210" s="98"/>
      <c r="F210" s="99"/>
      <c r="G210" s="101"/>
      <c r="H210" s="36">
        <v>350</v>
      </c>
      <c r="I210" s="99"/>
      <c r="J210" s="46" t="s">
        <v>424</v>
      </c>
      <c r="K210" s="46" t="s">
        <v>418</v>
      </c>
      <c r="L210" s="46" t="s">
        <v>640</v>
      </c>
      <c r="M210" s="46"/>
    </row>
    <row r="211" ht="101.25" hidden="1" customHeight="1" spans="1:13">
      <c r="A211" s="95"/>
      <c r="B211" s="42" t="s">
        <v>657</v>
      </c>
      <c r="C211" s="41" t="s">
        <v>437</v>
      </c>
      <c r="D211" s="97">
        <v>19074</v>
      </c>
      <c r="E211" s="98"/>
      <c r="F211" s="99"/>
      <c r="G211" s="101"/>
      <c r="H211" s="36">
        <v>0.7</v>
      </c>
      <c r="I211" s="99"/>
      <c r="J211" s="46" t="s">
        <v>518</v>
      </c>
      <c r="K211" s="46" t="s">
        <v>418</v>
      </c>
      <c r="L211" s="46" t="s">
        <v>643</v>
      </c>
      <c r="M211" s="46"/>
    </row>
    <row r="212" ht="101.25" hidden="1" customHeight="1" spans="1:13">
      <c r="A212" s="95"/>
      <c r="B212" s="42" t="s">
        <v>658</v>
      </c>
      <c r="C212" s="41" t="s">
        <v>39</v>
      </c>
      <c r="D212" s="97">
        <v>18.3</v>
      </c>
      <c r="E212" s="98"/>
      <c r="F212" s="99"/>
      <c r="G212" s="101"/>
      <c r="H212" s="36">
        <v>350</v>
      </c>
      <c r="I212" s="99"/>
      <c r="J212" s="46" t="s">
        <v>424</v>
      </c>
      <c r="K212" s="46" t="s">
        <v>418</v>
      </c>
      <c r="L212" s="46" t="s">
        <v>640</v>
      </c>
      <c r="M212" s="46"/>
    </row>
    <row r="213" ht="101.25" hidden="1" customHeight="1" spans="1:13">
      <c r="A213" s="95"/>
      <c r="B213" s="42" t="s">
        <v>659</v>
      </c>
      <c r="C213" s="41" t="s">
        <v>39</v>
      </c>
      <c r="D213" s="97">
        <v>190.9</v>
      </c>
      <c r="E213" s="98"/>
      <c r="F213" s="99"/>
      <c r="G213" s="101"/>
      <c r="H213" s="36">
        <v>200</v>
      </c>
      <c r="I213" s="99"/>
      <c r="J213" s="46" t="s">
        <v>424</v>
      </c>
      <c r="K213" s="46" t="s">
        <v>418</v>
      </c>
      <c r="L213" s="46" t="s">
        <v>627</v>
      </c>
      <c r="M213" s="46"/>
    </row>
    <row r="214" ht="101.25" hidden="1" customHeight="1" spans="1:13">
      <c r="A214" s="95"/>
      <c r="B214" s="87" t="s">
        <v>660</v>
      </c>
      <c r="C214" s="96" t="s">
        <v>39</v>
      </c>
      <c r="D214" s="97">
        <v>2645.49</v>
      </c>
      <c r="E214" s="98"/>
      <c r="F214" s="99"/>
      <c r="G214" s="101"/>
      <c r="H214" s="48">
        <v>15</v>
      </c>
      <c r="I214" s="99"/>
      <c r="J214" s="49" t="s">
        <v>25</v>
      </c>
      <c r="K214" s="49" t="s">
        <v>418</v>
      </c>
      <c r="L214" s="49" t="s">
        <v>636</v>
      </c>
      <c r="M214" s="46"/>
    </row>
    <row r="215" ht="101.25" customHeight="1" spans="1:13">
      <c r="A215" s="102" t="s">
        <v>289</v>
      </c>
      <c r="B215" s="87" t="s">
        <v>691</v>
      </c>
      <c r="C215" s="96" t="s">
        <v>39</v>
      </c>
      <c r="D215" s="97">
        <v>216.75</v>
      </c>
      <c r="E215" s="98"/>
      <c r="F215" s="99"/>
      <c r="G215" s="101"/>
      <c r="H215" s="48">
        <v>20</v>
      </c>
      <c r="I215" s="99">
        <f>ROUND(D215*H215,0)</f>
        <v>4335</v>
      </c>
      <c r="J215" s="49" t="s">
        <v>25</v>
      </c>
      <c r="K215" s="49" t="s">
        <v>418</v>
      </c>
      <c r="L215" s="49" t="s">
        <v>636</v>
      </c>
      <c r="M215" s="46"/>
    </row>
    <row r="216" ht="101.25" customHeight="1" spans="1:13">
      <c r="A216" s="102" t="s">
        <v>665</v>
      </c>
      <c r="B216" s="87" t="s">
        <v>662</v>
      </c>
      <c r="C216" s="96" t="s">
        <v>39</v>
      </c>
      <c r="D216" s="97">
        <v>5942.4</v>
      </c>
      <c r="E216" s="98"/>
      <c r="F216" s="99"/>
      <c r="G216" s="101"/>
      <c r="H216" s="48">
        <v>12</v>
      </c>
      <c r="I216" s="99">
        <f>ROUND(D216*H216,0)</f>
        <v>71309</v>
      </c>
      <c r="J216" s="49" t="s">
        <v>25</v>
      </c>
      <c r="K216" s="49" t="s">
        <v>418</v>
      </c>
      <c r="L216" s="49" t="s">
        <v>636</v>
      </c>
      <c r="M216" s="46"/>
    </row>
    <row r="217" ht="101.25" customHeight="1" spans="1:13">
      <c r="A217" s="102" t="s">
        <v>666</v>
      </c>
      <c r="B217" s="87" t="s">
        <v>663</v>
      </c>
      <c r="C217" s="96" t="s">
        <v>39</v>
      </c>
      <c r="D217" s="97">
        <v>2546.72</v>
      </c>
      <c r="E217" s="98"/>
      <c r="F217" s="99"/>
      <c r="G217" s="101"/>
      <c r="H217" s="48">
        <v>35</v>
      </c>
      <c r="I217" s="99">
        <f>ROUND(D217*H217,0)</f>
        <v>89135</v>
      </c>
      <c r="J217" s="49" t="s">
        <v>25</v>
      </c>
      <c r="K217" s="49" t="s">
        <v>418</v>
      </c>
      <c r="L217" s="49" t="s">
        <v>636</v>
      </c>
      <c r="M217" s="46"/>
    </row>
    <row r="218" ht="129.75" customHeight="1" spans="1:13">
      <c r="A218" s="95" t="s">
        <v>52</v>
      </c>
      <c r="B218" s="87" t="s">
        <v>770</v>
      </c>
      <c r="C218" s="96" t="s">
        <v>85</v>
      </c>
      <c r="D218" s="97">
        <v>13</v>
      </c>
      <c r="E218" s="98"/>
      <c r="F218" s="99"/>
      <c r="G218" s="100">
        <v>17127</v>
      </c>
      <c r="H218" s="48">
        <f>3873.38+443.31</f>
        <v>4316.69</v>
      </c>
      <c r="I218" s="99">
        <f>ROUND(D218*H218,0)</f>
        <v>56117</v>
      </c>
      <c r="J218" s="49" t="s">
        <v>634</v>
      </c>
      <c r="K218" s="49" t="s">
        <v>635</v>
      </c>
      <c r="L218" s="49" t="s">
        <v>636</v>
      </c>
      <c r="M218" s="46"/>
    </row>
    <row r="219" ht="101.25" hidden="1" customHeight="1" spans="1:13">
      <c r="A219" s="95"/>
      <c r="B219" s="42" t="s">
        <v>652</v>
      </c>
      <c r="C219" s="41" t="s">
        <v>39</v>
      </c>
      <c r="D219" s="97">
        <v>25.9</v>
      </c>
      <c r="E219" s="98"/>
      <c r="F219" s="99"/>
      <c r="G219" s="101"/>
      <c r="H219" s="36">
        <v>100</v>
      </c>
      <c r="I219" s="99"/>
      <c r="J219" s="46" t="s">
        <v>424</v>
      </c>
      <c r="K219" s="46" t="s">
        <v>418</v>
      </c>
      <c r="L219" s="46" t="s">
        <v>627</v>
      </c>
      <c r="M219" s="46"/>
    </row>
    <row r="220" ht="101.25" hidden="1" customHeight="1" spans="1:13">
      <c r="A220" s="95"/>
      <c r="B220" s="42" t="s">
        <v>653</v>
      </c>
      <c r="C220" s="41" t="s">
        <v>39</v>
      </c>
      <c r="D220" s="97">
        <v>78.78</v>
      </c>
      <c r="E220" s="98"/>
      <c r="F220" s="99"/>
      <c r="G220" s="101"/>
      <c r="H220" s="36">
        <v>140</v>
      </c>
      <c r="I220" s="99"/>
      <c r="J220" s="46" t="s">
        <v>424</v>
      </c>
      <c r="K220" s="46" t="s">
        <v>418</v>
      </c>
      <c r="L220" s="46" t="s">
        <v>638</v>
      </c>
      <c r="M220" s="46"/>
    </row>
    <row r="221" ht="101.25" hidden="1" customHeight="1" spans="1:13">
      <c r="A221" s="95"/>
      <c r="B221" s="42" t="s">
        <v>654</v>
      </c>
      <c r="C221" s="41" t="s">
        <v>39</v>
      </c>
      <c r="D221" s="97">
        <v>111.1</v>
      </c>
      <c r="E221" s="98"/>
      <c r="F221" s="99"/>
      <c r="G221" s="101"/>
      <c r="H221" s="36">
        <v>180</v>
      </c>
      <c r="I221" s="99"/>
      <c r="J221" s="46" t="s">
        <v>424</v>
      </c>
      <c r="K221" s="46" t="s">
        <v>418</v>
      </c>
      <c r="L221" s="46" t="s">
        <v>640</v>
      </c>
      <c r="M221" s="46"/>
    </row>
    <row r="222" ht="101.25" hidden="1" customHeight="1" spans="1:13">
      <c r="A222" s="95"/>
      <c r="B222" s="42" t="s">
        <v>655</v>
      </c>
      <c r="C222" s="41" t="s">
        <v>39</v>
      </c>
      <c r="D222" s="97">
        <v>0.75</v>
      </c>
      <c r="E222" s="98"/>
      <c r="F222" s="99"/>
      <c r="G222" s="101"/>
      <c r="H222" s="36">
        <v>200</v>
      </c>
      <c r="I222" s="99"/>
      <c r="J222" s="46" t="s">
        <v>424</v>
      </c>
      <c r="K222" s="46" t="s">
        <v>418</v>
      </c>
      <c r="L222" s="46" t="s">
        <v>640</v>
      </c>
      <c r="M222" s="46"/>
    </row>
    <row r="223" ht="101.25" hidden="1" customHeight="1" spans="1:13">
      <c r="A223" s="95"/>
      <c r="B223" s="42" t="s">
        <v>656</v>
      </c>
      <c r="C223" s="41" t="s">
        <v>39</v>
      </c>
      <c r="D223" s="97">
        <v>15.6</v>
      </c>
      <c r="E223" s="98"/>
      <c r="F223" s="99"/>
      <c r="G223" s="101"/>
      <c r="H223" s="36">
        <v>350</v>
      </c>
      <c r="I223" s="99"/>
      <c r="J223" s="46" t="s">
        <v>424</v>
      </c>
      <c r="K223" s="46" t="s">
        <v>418</v>
      </c>
      <c r="L223" s="46" t="s">
        <v>640</v>
      </c>
      <c r="M223" s="46"/>
    </row>
    <row r="224" ht="101.25" hidden="1" customHeight="1" spans="1:13">
      <c r="A224" s="95"/>
      <c r="B224" s="42" t="s">
        <v>657</v>
      </c>
      <c r="C224" s="41" t="s">
        <v>437</v>
      </c>
      <c r="D224" s="97">
        <v>4238</v>
      </c>
      <c r="E224" s="98"/>
      <c r="F224" s="99"/>
      <c r="G224" s="101"/>
      <c r="H224" s="36">
        <v>0.7</v>
      </c>
      <c r="I224" s="99"/>
      <c r="J224" s="46" t="s">
        <v>518</v>
      </c>
      <c r="K224" s="46" t="s">
        <v>418</v>
      </c>
      <c r="L224" s="46" t="s">
        <v>643</v>
      </c>
      <c r="M224" s="46"/>
    </row>
    <row r="225" ht="101.25" hidden="1" customHeight="1" spans="1:13">
      <c r="A225" s="95"/>
      <c r="B225" s="42" t="s">
        <v>658</v>
      </c>
      <c r="C225" s="41" t="s">
        <v>39</v>
      </c>
      <c r="D225" s="97"/>
      <c r="E225" s="98"/>
      <c r="F225" s="99"/>
      <c r="G225" s="101"/>
      <c r="H225" s="36">
        <v>350</v>
      </c>
      <c r="I225" s="99"/>
      <c r="J225" s="46" t="s">
        <v>424</v>
      </c>
      <c r="K225" s="46" t="s">
        <v>418</v>
      </c>
      <c r="L225" s="46" t="s">
        <v>640</v>
      </c>
      <c r="M225" s="46"/>
    </row>
    <row r="226" ht="101.25" hidden="1" customHeight="1" spans="1:13">
      <c r="A226" s="95"/>
      <c r="B226" s="42" t="s">
        <v>659</v>
      </c>
      <c r="C226" s="41" t="s">
        <v>39</v>
      </c>
      <c r="D226" s="97">
        <v>40.8</v>
      </c>
      <c r="E226" s="98"/>
      <c r="F226" s="99"/>
      <c r="G226" s="101"/>
      <c r="H226" s="36">
        <v>200</v>
      </c>
      <c r="I226" s="99"/>
      <c r="J226" s="46" t="s">
        <v>424</v>
      </c>
      <c r="K226" s="46" t="s">
        <v>418</v>
      </c>
      <c r="L226" s="46" t="s">
        <v>627</v>
      </c>
      <c r="M226" s="46"/>
    </row>
    <row r="227" ht="101.25" hidden="1" customHeight="1" spans="1:13">
      <c r="A227" s="95"/>
      <c r="B227" s="87" t="s">
        <v>660</v>
      </c>
      <c r="C227" s="96" t="s">
        <v>39</v>
      </c>
      <c r="D227" s="97">
        <v>384.2</v>
      </c>
      <c r="E227" s="98"/>
      <c r="F227" s="99"/>
      <c r="G227" s="101"/>
      <c r="H227" s="48">
        <v>15</v>
      </c>
      <c r="I227" s="99"/>
      <c r="J227" s="49" t="s">
        <v>25</v>
      </c>
      <c r="K227" s="49" t="s">
        <v>418</v>
      </c>
      <c r="L227" s="49" t="s">
        <v>636</v>
      </c>
      <c r="M227" s="46"/>
    </row>
    <row r="228" ht="101.25" customHeight="1" spans="1:13">
      <c r="A228" s="102" t="s">
        <v>668</v>
      </c>
      <c r="B228" s="87" t="s">
        <v>691</v>
      </c>
      <c r="C228" s="96" t="s">
        <v>39</v>
      </c>
      <c r="D228" s="97">
        <v>1</v>
      </c>
      <c r="E228" s="98"/>
      <c r="F228" s="99"/>
      <c r="G228" s="101"/>
      <c r="H228" s="48">
        <v>20</v>
      </c>
      <c r="I228" s="99">
        <f>ROUND(D228*H228,0)</f>
        <v>20</v>
      </c>
      <c r="J228" s="49" t="s">
        <v>25</v>
      </c>
      <c r="K228" s="49" t="s">
        <v>418</v>
      </c>
      <c r="L228" s="49" t="s">
        <v>636</v>
      </c>
      <c r="M228" s="46"/>
    </row>
    <row r="229" ht="101.25" customHeight="1" spans="1:13">
      <c r="A229" s="102" t="s">
        <v>669</v>
      </c>
      <c r="B229" s="87" t="s">
        <v>662</v>
      </c>
      <c r="C229" s="96" t="s">
        <v>39</v>
      </c>
      <c r="D229" s="97">
        <v>694.54</v>
      </c>
      <c r="E229" s="98"/>
      <c r="F229" s="99"/>
      <c r="G229" s="101"/>
      <c r="H229" s="48">
        <v>12</v>
      </c>
      <c r="I229" s="99">
        <f>ROUND(D229*H229,0)</f>
        <v>8334</v>
      </c>
      <c r="J229" s="49" t="s">
        <v>25</v>
      </c>
      <c r="K229" s="49" t="s">
        <v>418</v>
      </c>
      <c r="L229" s="49" t="s">
        <v>636</v>
      </c>
      <c r="M229" s="46"/>
    </row>
    <row r="230" ht="101.25" customHeight="1" spans="1:13">
      <c r="A230" s="102" t="s">
        <v>670</v>
      </c>
      <c r="B230" s="87" t="s">
        <v>663</v>
      </c>
      <c r="C230" s="96" t="s">
        <v>39</v>
      </c>
      <c r="D230" s="97">
        <v>297.66</v>
      </c>
      <c r="E230" s="98"/>
      <c r="F230" s="99"/>
      <c r="G230" s="101"/>
      <c r="H230" s="48">
        <v>35</v>
      </c>
      <c r="I230" s="99">
        <f>ROUND(D230*H230,0)</f>
        <v>10418</v>
      </c>
      <c r="J230" s="49" t="s">
        <v>25</v>
      </c>
      <c r="K230" s="49" t="s">
        <v>418</v>
      </c>
      <c r="L230" s="49" t="s">
        <v>636</v>
      </c>
      <c r="M230" s="46"/>
    </row>
    <row r="231" ht="97.5" customHeight="1" spans="1:13">
      <c r="A231" s="95" t="s">
        <v>56</v>
      </c>
      <c r="B231" s="87" t="s">
        <v>771</v>
      </c>
      <c r="C231" s="96" t="s">
        <v>85</v>
      </c>
      <c r="D231" s="97">
        <v>32</v>
      </c>
      <c r="E231" s="98"/>
      <c r="F231" s="99"/>
      <c r="G231" s="100">
        <v>28009</v>
      </c>
      <c r="H231" s="48">
        <v>3881.22</v>
      </c>
      <c r="I231" s="99">
        <f>SUM(I232:I239)</f>
        <v>0</v>
      </c>
      <c r="J231" s="49" t="s">
        <v>634</v>
      </c>
      <c r="K231" s="49" t="s">
        <v>635</v>
      </c>
      <c r="L231" s="49" t="s">
        <v>636</v>
      </c>
      <c r="M231" s="46"/>
    </row>
    <row r="232" ht="101.25" hidden="1" customHeight="1" spans="1:13">
      <c r="A232" s="95"/>
      <c r="B232" s="42" t="s">
        <v>652</v>
      </c>
      <c r="C232" s="41" t="s">
        <v>39</v>
      </c>
      <c r="D232" s="97">
        <v>107.83</v>
      </c>
      <c r="E232" s="98"/>
      <c r="F232" s="99"/>
      <c r="G232" s="101"/>
      <c r="H232" s="36">
        <v>100</v>
      </c>
      <c r="I232" s="99"/>
      <c r="J232" s="46" t="s">
        <v>424</v>
      </c>
      <c r="K232" s="46" t="s">
        <v>418</v>
      </c>
      <c r="L232" s="46" t="s">
        <v>627</v>
      </c>
      <c r="M232" s="46"/>
    </row>
    <row r="233" ht="101.25" hidden="1" customHeight="1" spans="1:13">
      <c r="A233" s="95"/>
      <c r="B233" s="42" t="s">
        <v>653</v>
      </c>
      <c r="C233" s="41" t="s">
        <v>39</v>
      </c>
      <c r="D233" s="97">
        <v>126.72</v>
      </c>
      <c r="E233" s="98"/>
      <c r="F233" s="99"/>
      <c r="G233" s="101"/>
      <c r="H233" s="36">
        <v>140</v>
      </c>
      <c r="I233" s="99"/>
      <c r="J233" s="46" t="s">
        <v>424</v>
      </c>
      <c r="K233" s="46" t="s">
        <v>418</v>
      </c>
      <c r="L233" s="46" t="s">
        <v>638</v>
      </c>
      <c r="M233" s="46"/>
    </row>
    <row r="234" ht="101.25" hidden="1" customHeight="1" spans="1:13">
      <c r="A234" s="95"/>
      <c r="B234" s="42" t="s">
        <v>654</v>
      </c>
      <c r="C234" s="41" t="s">
        <v>39</v>
      </c>
      <c r="D234" s="97">
        <v>207.06</v>
      </c>
      <c r="E234" s="98"/>
      <c r="F234" s="99"/>
      <c r="G234" s="101"/>
      <c r="H234" s="36">
        <v>180</v>
      </c>
      <c r="I234" s="99"/>
      <c r="J234" s="46" t="s">
        <v>424</v>
      </c>
      <c r="K234" s="46" t="s">
        <v>418</v>
      </c>
      <c r="L234" s="46" t="s">
        <v>640</v>
      </c>
      <c r="M234" s="46"/>
    </row>
    <row r="235" ht="101.25" hidden="1" customHeight="1" spans="1:13">
      <c r="A235" s="95"/>
      <c r="B235" s="42" t="s">
        <v>655</v>
      </c>
      <c r="C235" s="41" t="s">
        <v>39</v>
      </c>
      <c r="D235" s="97">
        <v>1.04</v>
      </c>
      <c r="E235" s="98"/>
      <c r="F235" s="99"/>
      <c r="G235" s="101"/>
      <c r="H235" s="36">
        <v>200</v>
      </c>
      <c r="I235" s="99"/>
      <c r="J235" s="46" t="s">
        <v>424</v>
      </c>
      <c r="K235" s="46" t="s">
        <v>418</v>
      </c>
      <c r="L235" s="46" t="s">
        <v>640</v>
      </c>
      <c r="M235" s="46"/>
    </row>
    <row r="236" ht="101.25" hidden="1" customHeight="1" spans="1:13">
      <c r="A236" s="95"/>
      <c r="B236" s="42" t="s">
        <v>656</v>
      </c>
      <c r="C236" s="41" t="s">
        <v>39</v>
      </c>
      <c r="D236" s="97">
        <v>65.58</v>
      </c>
      <c r="E236" s="98"/>
      <c r="F236" s="99"/>
      <c r="G236" s="101"/>
      <c r="H236" s="36">
        <v>350</v>
      </c>
      <c r="I236" s="99"/>
      <c r="J236" s="46" t="s">
        <v>424</v>
      </c>
      <c r="K236" s="46" t="s">
        <v>418</v>
      </c>
      <c r="L236" s="46" t="s">
        <v>640</v>
      </c>
      <c r="M236" s="46"/>
    </row>
    <row r="237" ht="101.25" hidden="1" customHeight="1" spans="1:13">
      <c r="A237" s="95"/>
      <c r="B237" s="42" t="s">
        <v>657</v>
      </c>
      <c r="C237" s="41" t="s">
        <v>437</v>
      </c>
      <c r="D237" s="97">
        <v>19350.4</v>
      </c>
      <c r="E237" s="98"/>
      <c r="F237" s="99"/>
      <c r="G237" s="101"/>
      <c r="H237" s="36">
        <v>0.7</v>
      </c>
      <c r="I237" s="99"/>
      <c r="J237" s="46" t="s">
        <v>518</v>
      </c>
      <c r="K237" s="46" t="s">
        <v>418</v>
      </c>
      <c r="L237" s="46" t="s">
        <v>643</v>
      </c>
      <c r="M237" s="46"/>
    </row>
    <row r="238" ht="101.25" hidden="1" customHeight="1" spans="1:13">
      <c r="A238" s="95"/>
      <c r="B238" s="42" t="s">
        <v>658</v>
      </c>
      <c r="C238" s="41" t="s">
        <v>39</v>
      </c>
      <c r="D238" s="97">
        <v>1</v>
      </c>
      <c r="E238" s="98"/>
      <c r="F238" s="99"/>
      <c r="G238" s="101"/>
      <c r="H238" s="36">
        <v>350</v>
      </c>
      <c r="I238" s="99"/>
      <c r="J238" s="46" t="s">
        <v>424</v>
      </c>
      <c r="K238" s="46" t="s">
        <v>418</v>
      </c>
      <c r="L238" s="46" t="s">
        <v>640</v>
      </c>
      <c r="M238" s="46"/>
    </row>
    <row r="239" ht="101.25" hidden="1" customHeight="1" spans="1:13">
      <c r="A239" s="95"/>
      <c r="B239" s="42" t="s">
        <v>659</v>
      </c>
      <c r="C239" s="41" t="s">
        <v>39</v>
      </c>
      <c r="D239" s="97">
        <v>106.74</v>
      </c>
      <c r="E239" s="98"/>
      <c r="F239" s="99"/>
      <c r="G239" s="101"/>
      <c r="H239" s="36">
        <v>200</v>
      </c>
      <c r="I239" s="99"/>
      <c r="J239" s="46" t="s">
        <v>424</v>
      </c>
      <c r="K239" s="46" t="s">
        <v>418</v>
      </c>
      <c r="L239" s="46" t="s">
        <v>627</v>
      </c>
      <c r="M239" s="46"/>
    </row>
    <row r="240" ht="78.75" customHeight="1" spans="1:13">
      <c r="A240" s="102" t="s">
        <v>58</v>
      </c>
      <c r="B240" s="87" t="s">
        <v>691</v>
      </c>
      <c r="C240" s="96" t="s">
        <v>39</v>
      </c>
      <c r="D240" s="97">
        <v>216.8</v>
      </c>
      <c r="E240" s="98"/>
      <c r="F240" s="99"/>
      <c r="G240" s="101"/>
      <c r="H240" s="48">
        <v>20</v>
      </c>
      <c r="I240" s="99">
        <f>ROUND(D240*H240,0)</f>
        <v>4336</v>
      </c>
      <c r="J240" s="49" t="s">
        <v>692</v>
      </c>
      <c r="K240" s="49" t="s">
        <v>418</v>
      </c>
      <c r="L240" s="49" t="s">
        <v>636</v>
      </c>
      <c r="M240" s="46"/>
    </row>
    <row r="241" ht="72.75" customHeight="1" spans="1:13">
      <c r="A241" s="102" t="s">
        <v>672</v>
      </c>
      <c r="B241" s="87" t="s">
        <v>660</v>
      </c>
      <c r="C241" s="96" t="s">
        <v>39</v>
      </c>
      <c r="D241" s="97">
        <v>1476</v>
      </c>
      <c r="E241" s="98"/>
      <c r="F241" s="99"/>
      <c r="G241" s="101"/>
      <c r="H241" s="48">
        <v>20</v>
      </c>
      <c r="I241" s="99">
        <f>ROUND(D241*H241,0)</f>
        <v>29520</v>
      </c>
      <c r="J241" s="49" t="s">
        <v>692</v>
      </c>
      <c r="K241" s="49" t="s">
        <v>418</v>
      </c>
      <c r="L241" s="49" t="s">
        <v>636</v>
      </c>
      <c r="M241" s="46"/>
    </row>
    <row r="242" ht="67.5" customHeight="1" spans="1:13">
      <c r="A242" s="102" t="s">
        <v>673</v>
      </c>
      <c r="B242" s="87" t="s">
        <v>662</v>
      </c>
      <c r="C242" s="96" t="s">
        <v>39</v>
      </c>
      <c r="D242" s="97">
        <v>1</v>
      </c>
      <c r="E242" s="98"/>
      <c r="F242" s="99"/>
      <c r="G242" s="101"/>
      <c r="H242" s="48">
        <v>12</v>
      </c>
      <c r="I242" s="99">
        <f>ROUND(D242*H242,0)</f>
        <v>12</v>
      </c>
      <c r="J242" s="49" t="s">
        <v>25</v>
      </c>
      <c r="K242" s="49" t="s">
        <v>418</v>
      </c>
      <c r="L242" s="49" t="s">
        <v>636</v>
      </c>
      <c r="M242" s="46"/>
    </row>
    <row r="243" ht="65.25" customHeight="1" spans="1:13">
      <c r="A243" s="102" t="s">
        <v>674</v>
      </c>
      <c r="B243" s="87" t="s">
        <v>663</v>
      </c>
      <c r="C243" s="96" t="s">
        <v>39</v>
      </c>
      <c r="D243" s="97">
        <v>1</v>
      </c>
      <c r="E243" s="98"/>
      <c r="F243" s="99"/>
      <c r="G243" s="101"/>
      <c r="H243" s="48">
        <v>35</v>
      </c>
      <c r="I243" s="99">
        <f>ROUND(D243*H243,0)</f>
        <v>35</v>
      </c>
      <c r="J243" s="49" t="s">
        <v>25</v>
      </c>
      <c r="K243" s="49" t="s">
        <v>418</v>
      </c>
      <c r="L243" s="49" t="s">
        <v>636</v>
      </c>
      <c r="M243" s="46"/>
    </row>
    <row r="244" ht="87.75" customHeight="1" spans="1:13">
      <c r="A244" s="103" t="s">
        <v>696</v>
      </c>
      <c r="B244" s="104"/>
      <c r="C244" s="105"/>
      <c r="D244" s="106"/>
      <c r="E244" s="106"/>
      <c r="F244" s="107" t="e">
        <f>#REF!+#REF!</f>
        <v>#REF!</v>
      </c>
      <c r="G244" s="107"/>
      <c r="H244" s="108"/>
      <c r="I244" s="109">
        <f>SUM(I6:I243)</f>
        <v>3549087</v>
      </c>
      <c r="J244" s="106"/>
      <c r="K244" s="110"/>
      <c r="L244" s="110"/>
      <c r="M244" s="110"/>
    </row>
    <row r="245" ht="135" customHeight="1" spans="1:13">
      <c r="A245" s="111" t="s">
        <v>697</v>
      </c>
      <c r="B245" s="111"/>
      <c r="C245" s="111"/>
      <c r="D245" s="111"/>
      <c r="E245" s="111"/>
      <c r="F245" s="111"/>
      <c r="G245" s="111"/>
      <c r="H245" s="111"/>
      <c r="I245" s="111"/>
      <c r="J245" s="111"/>
      <c r="K245" s="111"/>
      <c r="L245" s="111"/>
      <c r="M245" s="111"/>
    </row>
    <row r="246" ht="36.75" customHeight="1" spans="1:13">
      <c r="A246" s="112" t="s">
        <v>772</v>
      </c>
      <c r="B246" s="112"/>
      <c r="C246" s="112"/>
      <c r="D246" s="112"/>
      <c r="E246" s="112"/>
      <c r="F246" s="112"/>
      <c r="G246" s="112"/>
      <c r="H246" s="112"/>
      <c r="I246" s="112"/>
      <c r="J246" s="112"/>
      <c r="K246" s="112"/>
      <c r="L246" s="112"/>
      <c r="M246" s="112"/>
    </row>
    <row r="247" ht="31.5" customHeight="1" spans="1:13">
      <c r="A247" s="113" t="s">
        <v>125</v>
      </c>
      <c r="B247" s="113"/>
      <c r="C247" s="113"/>
      <c r="D247" s="113"/>
      <c r="E247" s="113"/>
      <c r="F247" s="113"/>
      <c r="G247" s="113"/>
      <c r="H247" s="113"/>
      <c r="I247" s="113"/>
      <c r="J247" s="113"/>
      <c r="K247" s="113"/>
      <c r="L247" s="113"/>
      <c r="M247" s="113"/>
    </row>
    <row r="248" ht="36.75" customHeight="1" spans="1:13">
      <c r="A248" s="113" t="s">
        <v>699</v>
      </c>
      <c r="B248" s="113"/>
      <c r="C248" s="113"/>
      <c r="D248" s="113"/>
      <c r="E248" s="113"/>
      <c r="F248" s="113"/>
      <c r="G248" s="113"/>
      <c r="H248" s="113"/>
      <c r="I248" s="113"/>
      <c r="J248" s="113"/>
      <c r="K248" s="113"/>
      <c r="L248" s="113"/>
      <c r="M248" s="113"/>
    </row>
    <row r="249" ht="82.5" customHeight="1" spans="1:13">
      <c r="A249" s="113" t="s">
        <v>700</v>
      </c>
      <c r="B249" s="113"/>
      <c r="C249" s="113"/>
      <c r="D249" s="113"/>
      <c r="E249" s="113"/>
      <c r="F249" s="113"/>
      <c r="G249" s="113"/>
      <c r="H249" s="113"/>
      <c r="I249" s="113"/>
      <c r="J249" s="113"/>
      <c r="K249" s="113"/>
      <c r="L249" s="113"/>
      <c r="M249" s="113"/>
    </row>
    <row r="250" ht="81" customHeight="1" spans="1:13">
      <c r="A250" s="113" t="s">
        <v>701</v>
      </c>
      <c r="B250" s="113"/>
      <c r="C250" s="113"/>
      <c r="D250" s="113"/>
      <c r="E250" s="113"/>
      <c r="F250" s="113"/>
      <c r="G250" s="113"/>
      <c r="H250" s="113"/>
      <c r="I250" s="113"/>
      <c r="J250" s="113"/>
      <c r="K250" s="113"/>
      <c r="L250" s="113"/>
      <c r="M250" s="113"/>
    </row>
    <row r="251" ht="34.5" customHeight="1" spans="1:13">
      <c r="A251" s="113" t="s">
        <v>702</v>
      </c>
      <c r="B251" s="113"/>
      <c r="C251" s="113"/>
      <c r="D251" s="113"/>
      <c r="E251" s="113"/>
      <c r="F251" s="113"/>
      <c r="G251" s="113"/>
      <c r="H251" s="113"/>
      <c r="I251" s="113"/>
      <c r="J251" s="113"/>
      <c r="K251" s="113"/>
      <c r="L251" s="113"/>
      <c r="M251" s="113"/>
    </row>
    <row r="252" ht="33" customHeight="1" spans="1:13">
      <c r="A252" s="113" t="s">
        <v>703</v>
      </c>
      <c r="B252" s="113"/>
      <c r="C252" s="113"/>
      <c r="D252" s="113"/>
      <c r="E252" s="113"/>
      <c r="F252" s="113"/>
      <c r="G252" s="113"/>
      <c r="H252" s="113"/>
      <c r="I252" s="113"/>
      <c r="J252" s="113"/>
      <c r="K252" s="113"/>
      <c r="L252" s="113"/>
      <c r="M252" s="113"/>
    </row>
    <row r="253" ht="36.75" customHeight="1" spans="1:13">
      <c r="A253" s="113" t="s">
        <v>704</v>
      </c>
      <c r="B253" s="113"/>
      <c r="C253" s="113"/>
      <c r="D253" s="113"/>
      <c r="E253" s="113"/>
      <c r="F253" s="113"/>
      <c r="G253" s="113"/>
      <c r="H253" s="113"/>
      <c r="I253" s="113"/>
      <c r="J253" s="113"/>
      <c r="K253" s="113"/>
      <c r="L253" s="113"/>
      <c r="M253" s="113"/>
    </row>
    <row r="254" ht="22.5" customHeight="1" spans="1:13">
      <c r="A254" s="113" t="s">
        <v>773</v>
      </c>
      <c r="B254" s="113"/>
      <c r="C254" s="113"/>
      <c r="D254" s="113"/>
      <c r="E254" s="113"/>
      <c r="F254" s="113"/>
      <c r="G254" s="113"/>
      <c r="H254" s="113"/>
      <c r="I254" s="113"/>
      <c r="J254" s="113"/>
      <c r="K254" s="113"/>
      <c r="L254" s="113"/>
      <c r="M254" s="113"/>
    </row>
    <row r="255" ht="22.5" customHeight="1" spans="1:13">
      <c r="A255" s="113" t="s">
        <v>774</v>
      </c>
      <c r="B255" s="113"/>
      <c r="C255" s="113"/>
      <c r="D255" s="113"/>
      <c r="E255" s="113"/>
      <c r="F255" s="113"/>
      <c r="G255" s="113"/>
      <c r="H255" s="113"/>
      <c r="I255" s="113"/>
      <c r="J255" s="113"/>
      <c r="K255" s="113"/>
      <c r="L255" s="113"/>
      <c r="M255" s="113"/>
    </row>
    <row r="256" ht="22.5" customHeight="1" spans="1:13">
      <c r="A256" s="113" t="s">
        <v>707</v>
      </c>
      <c r="B256" s="113"/>
      <c r="C256" s="113"/>
      <c r="D256" s="113"/>
      <c r="E256" s="113"/>
      <c r="F256" s="113"/>
      <c r="G256" s="113"/>
      <c r="H256" s="113"/>
      <c r="I256" s="113"/>
      <c r="J256" s="113"/>
      <c r="K256" s="113"/>
      <c r="L256" s="113"/>
      <c r="M256" s="113"/>
    </row>
    <row r="257" ht="60" customHeight="1" spans="1:13">
      <c r="A257" s="112" t="s">
        <v>775</v>
      </c>
      <c r="B257" s="112"/>
      <c r="C257" s="112"/>
      <c r="D257" s="112"/>
      <c r="E257" s="112"/>
      <c r="F257" s="112"/>
      <c r="G257" s="112"/>
      <c r="H257" s="112"/>
      <c r="I257" s="112"/>
      <c r="J257" s="112"/>
      <c r="K257" s="112"/>
      <c r="L257" s="112"/>
      <c r="M257" s="112"/>
    </row>
  </sheetData>
  <autoFilter xmlns:etc="http://www.wps.cn/officeDocument/2017/etCustomData" ref="L1:L257" etc:filterBottomFollowUsedRange="0">
    <extLst/>
  </autoFilter>
  <mergeCells count="32">
    <mergeCell ref="A1:M1"/>
    <mergeCell ref="H2:I2"/>
    <mergeCell ref="A5:B5"/>
    <mergeCell ref="B150:C150"/>
    <mergeCell ref="A189:B189"/>
    <mergeCell ref="A244:C244"/>
    <mergeCell ref="A245:M245"/>
    <mergeCell ref="A246:M246"/>
    <mergeCell ref="A247:M247"/>
    <mergeCell ref="A248:M248"/>
    <mergeCell ref="A249:M249"/>
    <mergeCell ref="A250:M250"/>
    <mergeCell ref="A251:M251"/>
    <mergeCell ref="A252:M252"/>
    <mergeCell ref="A253:M253"/>
    <mergeCell ref="A254:M254"/>
    <mergeCell ref="A255:M255"/>
    <mergeCell ref="A256:M256"/>
    <mergeCell ref="A257:M257"/>
    <mergeCell ref="A2:A4"/>
    <mergeCell ref="B2:B4"/>
    <mergeCell ref="C2:C4"/>
    <mergeCell ref="D2:D4"/>
    <mergeCell ref="E3:E4"/>
    <mergeCell ref="F3:F4"/>
    <mergeCell ref="G2:G4"/>
    <mergeCell ref="H3:H4"/>
    <mergeCell ref="I3:I4"/>
    <mergeCell ref="J2:J5"/>
    <mergeCell ref="K2:K5"/>
    <mergeCell ref="L2:L5"/>
    <mergeCell ref="M2:M5"/>
  </mergeCells>
  <conditionalFormatting sqref="H1:I1 I6:I102 I104:I188">
    <cfRule type="cellIs" dxfId="0" priority="13" stopIfTrue="1" operator="lessThan">
      <formula>0</formula>
    </cfRule>
  </conditionalFormatting>
  <printOptions horizontalCentered="1"/>
  <pageMargins left="0.393700787401575" right="0.393700787401575" top="0.590551181102362" bottom="0.590551181102362" header="0.31496062992126" footer="0.31496062992126"/>
  <pageSetup paperSize="9" scale="50" orientation="landscape"/>
  <headerFooter>
    <oddFooter>&amp;C第 &amp;P 页，共 &amp;N 页</oddFooter>
  </headerFooter>
  <rowBreaks count="3" manualBreakCount="3">
    <brk id="163" max="13" man="1"/>
    <brk id="183" max="13" man="1"/>
    <brk id="230" max="13" man="1"/>
  </rowBreaks>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8</vt:i4>
      </vt:variant>
    </vt:vector>
  </HeadingPairs>
  <TitlesOfParts>
    <vt:vector size="8" baseType="lpstr">
      <vt:lpstr>总</vt:lpstr>
      <vt:lpstr>修改</vt:lpstr>
      <vt:lpstr>清单</vt:lpstr>
      <vt:lpstr>商混</vt:lpstr>
      <vt:lpstr>护栏 (单价分析表) (全费用)</vt:lpstr>
      <vt:lpstr>Sheet1</vt:lpstr>
      <vt:lpstr>劳务一工区</vt:lpstr>
      <vt:lpstr>劳务二工区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 GJ</dc:creator>
  <cp:lastModifiedBy>风舞</cp:lastModifiedBy>
  <dcterms:created xsi:type="dcterms:W3CDTF">2020-05-13T01:34:00Z</dcterms:created>
  <cp:lastPrinted>2022-10-24T08:02:00Z</cp:lastPrinted>
  <dcterms:modified xsi:type="dcterms:W3CDTF">2026-07-09T00:54:53Z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7CD1965826834D34A53116A94123ACFD</vt:lpwstr>
  </property>
  <property fmtid="{D5CDD505-2E9C-101B-9397-08002B2CF9AE}" pid="4" name="CalculationRule">
    <vt:i4>0</vt:i4>
  </property>
</Properties>
</file>